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<sst xmlns="http://schemas.openxmlformats.org/spreadsheetml/2006/main" count="57" uniqueCount="31">
  <si>
    <t>HAW CC</t>
  </si>
  <si>
    <t>HON CC</t>
  </si>
  <si>
    <t>KAP CC</t>
  </si>
  <si>
    <t>KAU CC</t>
  </si>
  <si>
    <t>LEE CC</t>
  </si>
  <si>
    <t>MAUI</t>
  </si>
  <si>
    <t>WIN CC</t>
  </si>
  <si>
    <t>Total</t>
  </si>
  <si>
    <t xml:space="preserve">Source:  </t>
  </si>
  <si>
    <t>FY 2007</t>
  </si>
  <si>
    <t>General Funds and Tuition (TFSF) Expenditures Only</t>
  </si>
  <si>
    <t>Instruction</t>
  </si>
  <si>
    <t>Public Service</t>
  </si>
  <si>
    <t>Academic Support</t>
  </si>
  <si>
    <t>Student Services</t>
  </si>
  <si>
    <t>Institutional Support</t>
  </si>
  <si>
    <t>Total General Fund and Tuition Expenditures by Program</t>
  </si>
  <si>
    <t>FY 2010</t>
  </si>
  <si>
    <t>FY 2015</t>
  </si>
  <si>
    <t>Student Headcount Enrollment</t>
  </si>
  <si>
    <t>Cost per Student Headcount by Program</t>
  </si>
  <si>
    <t>COST PER STUDENT HEADCOUNT BY PROGRAM</t>
  </si>
  <si>
    <t>Enrollment Table 0 - Headcount Enrollment, Multi-Year, Fall 2012-2016</t>
  </si>
  <si>
    <t>University of Hawaii - Community Colleges; Expenditure Data Reports</t>
  </si>
  <si>
    <t>Expenditures per Appropriated Fund Expenditure Summary Report</t>
  </si>
  <si>
    <t>Definitions:</t>
  </si>
  <si>
    <t>all direct instructional activities plus dean's offices and divisional offices; student success council initiatives; Native Hawaiian programs</t>
  </si>
  <si>
    <t>theatre and continuing education (OCEWD) activities</t>
  </si>
  <si>
    <t>library; educational media center; staff development; LRC and writing center; ITG; KI; dean's office; copy/duplicating center</t>
  </si>
  <si>
    <t>counseling; admissions and records; financial aid; student life; student recruitment; job prep; dean's office; tuition scholarships; freshman year experience</t>
  </si>
  <si>
    <t xml:space="preserve">chancellor's office; administrative services functions; utilities; accreditation; OPPA; workers comp; UH and UHCC assessments; commencement; sustainability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</si>
</sst>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8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164" fontId="2" fillId="0" borderId="4" xfId="15" applyNumberFormat="1" applyFont="1" applyBorder="1"/>
    <xf numFmtId="164" fontId="2" fillId="0" borderId="0" xfId="15" applyNumberFormat="1" applyFont="1" applyBorder="1"/>
    <xf numFmtId="164" fontId="2" fillId="0" borderId="5" xfId="15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0" xfId="15" applyNumberFormat="1" applyFont="1" applyFill="1" applyBorder="1"/>
    <xf numFmtId="38" fontId="2" fillId="0" borderId="4" xfId="0" applyNumberFormat="1" applyFont="1" applyBorder="1"/>
    <xf numFmtId="38" fontId="2" fillId="0" borderId="0" xfId="0" applyNumberFormat="1" applyFont="1" applyBorder="1"/>
    <xf numFmtId="38" fontId="5" fillId="0" borderId="0" xfId="0" applyNumberFormat="1" applyFont="1" applyFill="1" applyBorder="1"/>
    <xf numFmtId="38" fontId="2" fillId="0" borderId="5" xfId="0" applyNumberFormat="1" applyFont="1" applyBorder="1"/>
    <xf numFmtId="38" fontId="2" fillId="0" borderId="1" xfId="0" applyNumberFormat="1" applyFont="1" applyBorder="1"/>
    <xf numFmtId="38" fontId="2" fillId="0" borderId="2" xfId="0" applyNumberFormat="1" applyFont="1" applyBorder="1"/>
    <xf numFmtId="38" fontId="5" fillId="0" borderId="2" xfId="0" applyNumberFormat="1" applyFont="1" applyFill="1" applyBorder="1"/>
    <xf numFmtId="38" fontId="2" fillId="0" borderId="3" xfId="0" applyNumberFormat="1" applyFont="1" applyBorder="1"/>
    <xf numFmtId="38" fontId="5" fillId="0" borderId="0" xfId="0" applyNumberFormat="1" applyFont="1" applyBorder="1"/>
    <xf numFmtId="6" fontId="2" fillId="0" borderId="4" xfId="0" applyNumberFormat="1" applyFont="1" applyBorder="1"/>
    <xf numFmtId="6" fontId="2" fillId="0" borderId="0" xfId="0" applyNumberFormat="1" applyFont="1" applyBorder="1"/>
    <xf numFmtId="6" fontId="5" fillId="0" borderId="0" xfId="0" applyNumberFormat="1" applyFont="1" applyBorder="1"/>
    <xf numFmtId="6" fontId="2" fillId="0" borderId="5" xfId="0" applyNumberFormat="1" applyFont="1" applyBorder="1"/>
    <xf numFmtId="6" fontId="3" fillId="0" borderId="4" xfId="0" applyNumberFormat="1" applyFont="1" applyBorder="1"/>
    <xf numFmtId="6" fontId="3" fillId="0" borderId="0" xfId="0" applyNumberFormat="1" applyFont="1" applyBorder="1"/>
    <xf numFmtId="6" fontId="5" fillId="0" borderId="0" xfId="0" applyNumberFormat="1" applyFont="1" applyFill="1" applyBorder="1"/>
    <xf numFmtId="6" fontId="3" fillId="0" borderId="5" xfId="0" applyNumberFormat="1" applyFont="1" applyBorder="1"/>
    <xf numFmtId="6" fontId="3" fillId="0" borderId="1" xfId="0" applyNumberFormat="1" applyFont="1" applyBorder="1"/>
    <xf numFmtId="6" fontId="3" fillId="0" borderId="2" xfId="0" applyNumberFormat="1" applyFont="1" applyBorder="1"/>
    <xf numFmtId="6" fontId="5" fillId="0" borderId="2" xfId="0" applyNumberFormat="1" applyFont="1" applyFill="1" applyBorder="1"/>
    <xf numFmtId="6" fontId="3" fillId="0" borderId="3" xfId="0" applyNumberFormat="1" applyFont="1" applyBorder="1"/>
    <xf numFmtId="38" fontId="5" fillId="0" borderId="0" xfId="15" applyNumberFormat="1" applyFont="1" applyFill="1" applyBorder="1"/>
    <xf numFmtId="6" fontId="5" fillId="0" borderId="0" xfId="15" applyNumberFormat="1" applyFont="1" applyFill="1" applyBorder="1"/>
    <xf numFmtId="38" fontId="2" fillId="0" borderId="4" xfId="15" applyNumberFormat="1" applyFont="1" applyBorder="1"/>
    <xf numFmtId="38" fontId="2" fillId="0" borderId="0" xfId="15" applyNumberFormat="1" applyFont="1" applyBorder="1"/>
    <xf numFmtId="6" fontId="2" fillId="0" borderId="4" xfId="15" applyNumberFormat="1" applyFont="1" applyBorder="1"/>
    <xf numFmtId="6" fontId="3" fillId="0" borderId="4" xfId="15" applyNumberFormat="1" applyFont="1" applyBorder="1"/>
    <xf numFmtId="6" fontId="3" fillId="0" borderId="0" xfId="15" applyNumberFormat="1" applyFont="1" applyBorder="1"/>
    <xf numFmtId="6" fontId="3" fillId="0" borderId="5" xfId="15" applyNumberFormat="1" applyFont="1" applyBorder="1"/>
    <xf numFmtId="6" fontId="2" fillId="0" borderId="0" xfId="15" applyNumberFormat="1" applyFont="1" applyBorder="1"/>
    <xf numFmtId="6" fontId="2" fillId="0" borderId="5" xfId="15" applyNumberFormat="1" applyFont="1" applyBorder="1"/>
    <xf numFmtId="38" fontId="2" fillId="0" borderId="5" xfId="15" applyNumberFormat="1" applyFont="1" applyBorder="1"/>
    <xf numFmtId="38" fontId="2" fillId="0" borderId="1" xfId="15" applyNumberFormat="1" applyFont="1" applyBorder="1"/>
    <xf numFmtId="38" fontId="2" fillId="0" borderId="2" xfId="15" applyNumberFormat="1" applyFont="1" applyBorder="1"/>
    <xf numFmtId="38" fontId="5" fillId="0" borderId="2" xfId="15" applyNumberFormat="1" applyFont="1" applyFill="1" applyBorder="1"/>
    <xf numFmtId="38" fontId="2" fillId="0" borderId="3" xfId="15" applyNumberFormat="1" applyFont="1" applyBorder="1"/>
    <xf numFmtId="6" fontId="3" fillId="0" borderId="1" xfId="15" applyNumberFormat="1" applyFont="1" applyBorder="1"/>
    <xf numFmtId="6" fontId="3" fillId="0" borderId="2" xfId="15" applyNumberFormat="1" applyFont="1" applyBorder="1"/>
    <xf numFmtId="6" fontId="5" fillId="0" borderId="2" xfId="15" applyNumberFormat="1" applyFont="1" applyFill="1" applyBorder="1"/>
    <xf numFmtId="6" fontId="3" fillId="0" borderId="3" xfId="15" applyNumberFormat="1" applyFont="1" applyBorder="1"/>
    <xf numFmtId="38" fontId="3" fillId="0" borderId="4" xfId="0" applyNumberFormat="1" applyFont="1" applyBorder="1"/>
    <xf numFmtId="38" fontId="3" fillId="0" borderId="0" xfId="0" applyNumberFormat="1" applyFont="1" applyBorder="1"/>
    <xf numFmtId="38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120" zoomScaleNormal="120" workbookViewId="0" topLeftCell="A1"/>
  </sheetViews>
  <sheetFormatPr defaultColWidth="9.140625" defaultRowHeight="15"/>
  <cols>
    <col min="1" max="1" width="6.7109375" style="1" customWidth="1"/>
    <col min="2" max="2" width="25.7109375" style="1" customWidth="1"/>
    <col min="3" max="9" width="10.7109375" style="1" customWidth="1"/>
    <col min="10" max="10" width="1.7109375" style="1" customWidth="1"/>
    <col min="11" max="17" width="7.7109375" style="1" customWidth="1"/>
    <col min="18" max="16384" width="9.140625" style="1" customWidth="1"/>
  </cols>
  <sheetData>
    <row r="1" ht="15">
      <c r="A1" s="11" t="s">
        <v>21</v>
      </c>
    </row>
    <row r="2" ht="15">
      <c r="A2" s="11" t="s">
        <v>10</v>
      </c>
    </row>
    <row r="3" ht="13.5" thickBot="1"/>
    <row r="4" spans="3:17" ht="15">
      <c r="C4" s="60" t="s">
        <v>16</v>
      </c>
      <c r="D4" s="61"/>
      <c r="E4" s="61"/>
      <c r="F4" s="61"/>
      <c r="G4" s="61"/>
      <c r="H4" s="61"/>
      <c r="I4" s="62"/>
      <c r="K4" s="60" t="s">
        <v>20</v>
      </c>
      <c r="L4" s="61"/>
      <c r="M4" s="61"/>
      <c r="N4" s="61"/>
      <c r="O4" s="61"/>
      <c r="P4" s="61"/>
      <c r="Q4" s="62"/>
    </row>
    <row r="5" spans="3:17" ht="13.5" thickBot="1">
      <c r="C5" s="2" t="s">
        <v>0</v>
      </c>
      <c r="D5" s="3" t="s">
        <v>1</v>
      </c>
      <c r="E5" s="3" t="s">
        <v>2</v>
      </c>
      <c r="F5" s="3" t="s">
        <v>3</v>
      </c>
      <c r="G5" s="15" t="s">
        <v>4</v>
      </c>
      <c r="H5" s="3" t="s">
        <v>5</v>
      </c>
      <c r="I5" s="4" t="s">
        <v>6</v>
      </c>
      <c r="K5" s="2" t="s">
        <v>0</v>
      </c>
      <c r="L5" s="3" t="s">
        <v>1</v>
      </c>
      <c r="M5" s="3" t="s">
        <v>2</v>
      </c>
      <c r="N5" s="3" t="s">
        <v>3</v>
      </c>
      <c r="O5" s="15" t="s">
        <v>4</v>
      </c>
      <c r="P5" s="3" t="s">
        <v>5</v>
      </c>
      <c r="Q5" s="4" t="s">
        <v>6</v>
      </c>
    </row>
    <row r="6" spans="1:17" ht="15">
      <c r="A6" s="13" t="s">
        <v>9</v>
      </c>
      <c r="C6" s="5"/>
      <c r="D6" s="6"/>
      <c r="E6" s="6"/>
      <c r="F6" s="6"/>
      <c r="G6" s="14"/>
      <c r="H6" s="6"/>
      <c r="I6" s="7"/>
      <c r="K6" s="5"/>
      <c r="L6" s="6"/>
      <c r="M6" s="6"/>
      <c r="N6" s="6"/>
      <c r="O6" s="14"/>
      <c r="P6" s="6"/>
      <c r="Q6" s="7"/>
    </row>
    <row r="7" spans="2:17" ht="15">
      <c r="B7" s="11" t="s">
        <v>19</v>
      </c>
      <c r="C7" s="57">
        <v>2603</v>
      </c>
      <c r="D7" s="58">
        <v>4027</v>
      </c>
      <c r="E7" s="58">
        <v>7517</v>
      </c>
      <c r="F7" s="58">
        <v>1051</v>
      </c>
      <c r="G7" s="19">
        <v>5887</v>
      </c>
      <c r="H7" s="58">
        <v>2981</v>
      </c>
      <c r="I7" s="59">
        <v>1824</v>
      </c>
      <c r="K7" s="8"/>
      <c r="L7" s="9"/>
      <c r="M7" s="9"/>
      <c r="N7" s="9"/>
      <c r="O7" s="16"/>
      <c r="P7" s="9"/>
      <c r="Q7" s="10"/>
    </row>
    <row r="8" spans="2:17" ht="15">
      <c r="B8" s="1" t="s">
        <v>11</v>
      </c>
      <c r="C8" s="26">
        <f>6304250+950509</f>
        <v>7254759</v>
      </c>
      <c r="D8" s="27">
        <f>11118470+1293547</f>
        <v>12412017</v>
      </c>
      <c r="E8" s="27">
        <f>13261111+2639729</f>
        <v>15900840</v>
      </c>
      <c r="F8" s="27">
        <f>3888284+86042</f>
        <v>3974326</v>
      </c>
      <c r="G8" s="28">
        <f>9450877+1437755</f>
        <v>10888632</v>
      </c>
      <c r="H8" s="27">
        <f>6869806+553049</f>
        <v>7422855</v>
      </c>
      <c r="I8" s="29">
        <f>3088752+98798</f>
        <v>3187550</v>
      </c>
      <c r="K8" s="42">
        <f>+C8/$C$7</f>
        <v>2787.0760660776027</v>
      </c>
      <c r="L8" s="46">
        <f>+D8/$D$7</f>
        <v>3082.199404022846</v>
      </c>
      <c r="M8" s="46">
        <f>+E8/$E$7</f>
        <v>2115.3172808301183</v>
      </c>
      <c r="N8" s="46">
        <f>+F8/$F$7</f>
        <v>3781.4709800190294</v>
      </c>
      <c r="O8" s="39">
        <f>+G8/$G$7</f>
        <v>1849.6062510616614</v>
      </c>
      <c r="P8" s="46">
        <f>+H8/$H$7</f>
        <v>2490.0553505535054</v>
      </c>
      <c r="Q8" s="47">
        <f>+I8/$I$7</f>
        <v>1747.560307017544</v>
      </c>
    </row>
    <row r="9" spans="2:17" ht="15">
      <c r="B9" s="1" t="s">
        <v>12</v>
      </c>
      <c r="C9" s="17">
        <f>543047+158</f>
        <v>543205</v>
      </c>
      <c r="D9" s="18">
        <f>1806025+24397</f>
        <v>1830422</v>
      </c>
      <c r="E9" s="18">
        <f>522997+26220</f>
        <v>549217</v>
      </c>
      <c r="F9" s="18">
        <v>392042</v>
      </c>
      <c r="G9" s="25">
        <f>209440+19739</f>
        <v>229179</v>
      </c>
      <c r="H9" s="18">
        <f>420887+333603</f>
        <v>754490</v>
      </c>
      <c r="I9" s="20">
        <f>1485156+145970</f>
        <v>1631126</v>
      </c>
      <c r="K9" s="40">
        <f aca="true" t="shared" si="0" ref="K9:K12">+C9/$C$7</f>
        <v>208.68421052631578</v>
      </c>
      <c r="L9" s="41">
        <f aca="true" t="shared" si="1" ref="L9:L12">+D9/$D$7</f>
        <v>454.5373727340452</v>
      </c>
      <c r="M9" s="41">
        <f>+E9/$E$7</f>
        <v>73.06332313422908</v>
      </c>
      <c r="N9" s="41">
        <f>+F9/$F$7</f>
        <v>373.0180780209324</v>
      </c>
      <c r="O9" s="38">
        <f>+G9/$G$7</f>
        <v>38.929675556310514</v>
      </c>
      <c r="P9" s="41">
        <f>+H9/$H$7</f>
        <v>253.09963099630997</v>
      </c>
      <c r="Q9" s="48">
        <f>+I9/$I$7</f>
        <v>894.2576754385965</v>
      </c>
    </row>
    <row r="10" spans="2:17" ht="15">
      <c r="B10" s="1" t="s">
        <v>13</v>
      </c>
      <c r="C10" s="17">
        <f>1419032+71567</f>
        <v>1490599</v>
      </c>
      <c r="D10" s="18">
        <f>2208327+450111</f>
        <v>2658438</v>
      </c>
      <c r="E10" s="18">
        <f>2029744+660836</f>
        <v>2690580</v>
      </c>
      <c r="F10" s="18">
        <f>1240005+120414</f>
        <v>1360419</v>
      </c>
      <c r="G10" s="25">
        <f>2288845+1050495</f>
        <v>3339340</v>
      </c>
      <c r="H10" s="18">
        <f>1257630+352060</f>
        <v>1609690</v>
      </c>
      <c r="I10" s="20">
        <f>1076509+274035</f>
        <v>1350544</v>
      </c>
      <c r="K10" s="40">
        <f t="shared" si="0"/>
        <v>572.6465616596236</v>
      </c>
      <c r="L10" s="41">
        <f t="shared" si="1"/>
        <v>660.1534641172088</v>
      </c>
      <c r="M10" s="41">
        <f aca="true" t="shared" si="2" ref="M10:M12">+E10/$E$7</f>
        <v>357.93268591193294</v>
      </c>
      <c r="N10" s="41">
        <f aca="true" t="shared" si="3" ref="N10:N12">+F10/$F$7</f>
        <v>1294.4043767840153</v>
      </c>
      <c r="O10" s="38">
        <f>+G10/$G$7</f>
        <v>567.2396806522847</v>
      </c>
      <c r="P10" s="41">
        <f aca="true" t="shared" si="4" ref="P10:P12">+H10/$H$7</f>
        <v>539.9832271049984</v>
      </c>
      <c r="Q10" s="48">
        <f aca="true" t="shared" si="5" ref="Q10:Q12">+I10/$I$7</f>
        <v>740.4298245614035</v>
      </c>
    </row>
    <row r="11" spans="2:17" ht="15">
      <c r="B11" s="1" t="s">
        <v>14</v>
      </c>
      <c r="C11" s="17">
        <f>1012981+98597</f>
        <v>1111578</v>
      </c>
      <c r="D11" s="18">
        <f>1391749+264588</f>
        <v>1656337</v>
      </c>
      <c r="E11" s="18">
        <f>1852879+387885</f>
        <v>2240764</v>
      </c>
      <c r="F11" s="18">
        <f>798289+57382</f>
        <v>855671</v>
      </c>
      <c r="G11" s="25">
        <f>1790889+77819</f>
        <v>1868708</v>
      </c>
      <c r="H11" s="18">
        <f>874608+239586</f>
        <v>1114194</v>
      </c>
      <c r="I11" s="20">
        <f>820249+40715</f>
        <v>860964</v>
      </c>
      <c r="K11" s="40">
        <f t="shared" si="0"/>
        <v>427.0372646945832</v>
      </c>
      <c r="L11" s="41">
        <f t="shared" si="1"/>
        <v>411.3079215296747</v>
      </c>
      <c r="M11" s="41">
        <f t="shared" si="2"/>
        <v>298.09285619263005</v>
      </c>
      <c r="N11" s="41">
        <f t="shared" si="3"/>
        <v>814.1493815413892</v>
      </c>
      <c r="O11" s="38">
        <f>+G11/$G$7</f>
        <v>317.42959062340753</v>
      </c>
      <c r="P11" s="41">
        <f t="shared" si="4"/>
        <v>373.76517946997654</v>
      </c>
      <c r="Q11" s="48">
        <f t="shared" si="5"/>
        <v>472.01973684210526</v>
      </c>
    </row>
    <row r="12" spans="2:17" ht="13.5" thickBot="1">
      <c r="B12" s="1" t="s">
        <v>15</v>
      </c>
      <c r="C12" s="17">
        <f>3317315+795947</f>
        <v>4113262</v>
      </c>
      <c r="D12" s="18">
        <f>4520612+784587</f>
        <v>5305199</v>
      </c>
      <c r="E12" s="18">
        <f>2961359+3333842</f>
        <v>6295201</v>
      </c>
      <c r="F12" s="18">
        <f>2651882+665960</f>
        <v>3317842</v>
      </c>
      <c r="G12" s="25">
        <f>2257917+2230573</f>
        <v>4488490</v>
      </c>
      <c r="H12" s="18">
        <f>3512329+1268412</f>
        <v>4780741</v>
      </c>
      <c r="I12" s="20">
        <f>2300843+909859</f>
        <v>3210702</v>
      </c>
      <c r="K12" s="49">
        <f t="shared" si="0"/>
        <v>1580.2005378409528</v>
      </c>
      <c r="L12" s="50">
        <f t="shared" si="1"/>
        <v>1317.4072510553763</v>
      </c>
      <c r="M12" s="50">
        <f t="shared" si="2"/>
        <v>837.4618863908474</v>
      </c>
      <c r="N12" s="50">
        <f t="shared" si="3"/>
        <v>3156.8430066603237</v>
      </c>
      <c r="O12" s="51">
        <f>+G12/$G$7</f>
        <v>762.4409716324104</v>
      </c>
      <c r="P12" s="50">
        <f t="shared" si="4"/>
        <v>1603.7373364642738</v>
      </c>
      <c r="Q12" s="52">
        <f t="shared" si="5"/>
        <v>1760.2532894736842</v>
      </c>
    </row>
    <row r="13" spans="2:17" s="11" customFormat="1" ht="15">
      <c r="B13" s="12" t="s">
        <v>7</v>
      </c>
      <c r="C13" s="30">
        <f aca="true" t="shared" si="6" ref="C13:I13">SUM(C8:C12)</f>
        <v>14513403</v>
      </c>
      <c r="D13" s="31">
        <f t="shared" si="6"/>
        <v>23862413</v>
      </c>
      <c r="E13" s="31">
        <f t="shared" si="6"/>
        <v>27676602</v>
      </c>
      <c r="F13" s="31">
        <f t="shared" si="6"/>
        <v>9900300</v>
      </c>
      <c r="G13" s="32">
        <f t="shared" si="6"/>
        <v>20814349</v>
      </c>
      <c r="H13" s="31">
        <f t="shared" si="6"/>
        <v>15681970</v>
      </c>
      <c r="I13" s="33">
        <f t="shared" si="6"/>
        <v>10240886</v>
      </c>
      <c r="K13" s="43">
        <f aca="true" t="shared" si="7" ref="K13:Q13">SUM(K8:K12)</f>
        <v>5575.644640799079</v>
      </c>
      <c r="L13" s="44">
        <f t="shared" si="7"/>
        <v>5925.60541345915</v>
      </c>
      <c r="M13" s="44">
        <f t="shared" si="7"/>
        <v>3681.868032459757</v>
      </c>
      <c r="N13" s="44">
        <f t="shared" si="7"/>
        <v>9419.885823025688</v>
      </c>
      <c r="O13" s="39">
        <f t="shared" si="7"/>
        <v>3535.6461695260746</v>
      </c>
      <c r="P13" s="44">
        <f t="shared" si="7"/>
        <v>5260.640724589064</v>
      </c>
      <c r="Q13" s="45">
        <f t="shared" si="7"/>
        <v>5614.520833333334</v>
      </c>
    </row>
    <row r="14" spans="1:17" ht="15">
      <c r="A14" s="13" t="s">
        <v>17</v>
      </c>
      <c r="C14" s="17"/>
      <c r="D14" s="18"/>
      <c r="E14" s="18"/>
      <c r="F14" s="18"/>
      <c r="G14" s="19"/>
      <c r="H14" s="18"/>
      <c r="I14" s="20"/>
      <c r="K14" s="5"/>
      <c r="L14" s="6"/>
      <c r="M14" s="6"/>
      <c r="N14" s="6"/>
      <c r="O14" s="14"/>
      <c r="P14" s="6"/>
      <c r="Q14" s="7"/>
    </row>
    <row r="15" spans="2:17" ht="15">
      <c r="B15" s="11" t="s">
        <v>19</v>
      </c>
      <c r="C15" s="57">
        <v>3815</v>
      </c>
      <c r="D15" s="58">
        <v>4725</v>
      </c>
      <c r="E15" s="58">
        <v>9301</v>
      </c>
      <c r="F15" s="58">
        <v>1428</v>
      </c>
      <c r="G15" s="19">
        <v>7942</v>
      </c>
      <c r="H15" s="58">
        <v>4367</v>
      </c>
      <c r="I15" s="59">
        <v>2625</v>
      </c>
      <c r="K15" s="8"/>
      <c r="L15" s="9"/>
      <c r="M15" s="9"/>
      <c r="N15" s="9"/>
      <c r="O15" s="16"/>
      <c r="P15" s="9"/>
      <c r="Q15" s="10"/>
    </row>
    <row r="16" spans="2:17" ht="15">
      <c r="B16" s="1" t="s">
        <v>11</v>
      </c>
      <c r="C16" s="26">
        <f>7803163+808599+815029</f>
        <v>9426791</v>
      </c>
      <c r="D16" s="27">
        <f>9908806+1696449+1123463</f>
        <v>12728718</v>
      </c>
      <c r="E16" s="27">
        <f>12804288+4081606+2057691</f>
        <v>18943585</v>
      </c>
      <c r="F16" s="27">
        <f>4235211+229413+271227</f>
        <v>4735851</v>
      </c>
      <c r="G16" s="32">
        <f>8215034+4082184+1528611</f>
        <v>13825829</v>
      </c>
      <c r="H16" s="27">
        <f>8060233+1798973+736617</f>
        <v>10595823</v>
      </c>
      <c r="I16" s="29">
        <f>3263814+219287+427362</f>
        <v>3910463</v>
      </c>
      <c r="K16" s="42">
        <f>+C16/$C$15</f>
        <v>2470.980602883355</v>
      </c>
      <c r="L16" s="46">
        <f>+D16/$D$15</f>
        <v>2693.9085714285716</v>
      </c>
      <c r="M16" s="46">
        <f>+E16/$E$15</f>
        <v>2036.7256209009784</v>
      </c>
      <c r="N16" s="46">
        <f>+F16/$F$15</f>
        <v>3316.422268907563</v>
      </c>
      <c r="O16" s="39">
        <f>+G16/$G$15</f>
        <v>1740.849785948124</v>
      </c>
      <c r="P16" s="46">
        <f>+H16/$H$15</f>
        <v>2426.33913441722</v>
      </c>
      <c r="Q16" s="47">
        <f>+I16/$I$15</f>
        <v>1489.7001904761905</v>
      </c>
    </row>
    <row r="17" spans="2:17" ht="15">
      <c r="B17" s="1" t="s">
        <v>12</v>
      </c>
      <c r="C17" s="17">
        <f>361903+24212</f>
        <v>386115</v>
      </c>
      <c r="D17" s="18">
        <f>1768254+122017</f>
        <v>1890271</v>
      </c>
      <c r="E17" s="18">
        <f>642105+19702</f>
        <v>661807</v>
      </c>
      <c r="F17" s="18">
        <f>435018+909</f>
        <v>435927</v>
      </c>
      <c r="G17" s="19">
        <f>343357+33596</f>
        <v>376953</v>
      </c>
      <c r="H17" s="18">
        <f>482005+145880</f>
        <v>627885</v>
      </c>
      <c r="I17" s="20">
        <f>1815175+124300</f>
        <v>1939475</v>
      </c>
      <c r="K17" s="40">
        <f aca="true" t="shared" si="8" ref="K17:K20">+C17/$C$15</f>
        <v>101.20969855832242</v>
      </c>
      <c r="L17" s="41">
        <f aca="true" t="shared" si="9" ref="L17:L20">+D17/$D$15</f>
        <v>400.0573544973545</v>
      </c>
      <c r="M17" s="41">
        <f aca="true" t="shared" si="10" ref="M17:M20">+E17/$E$15</f>
        <v>71.15439200086013</v>
      </c>
      <c r="N17" s="41">
        <f aca="true" t="shared" si="11" ref="N17:N20">+F17/$F$15</f>
        <v>305.27100840336135</v>
      </c>
      <c r="O17" s="38">
        <f aca="true" t="shared" si="12" ref="O17:O20">+G17/$G$15</f>
        <v>47.46323344245782</v>
      </c>
      <c r="P17" s="41">
        <f aca="true" t="shared" si="13" ref="P17:P20">+H17/$H$15</f>
        <v>143.77948248225326</v>
      </c>
      <c r="Q17" s="48">
        <f aca="true" t="shared" si="14" ref="Q17:Q20">+I17/$I$15</f>
        <v>738.847619047619</v>
      </c>
    </row>
    <row r="18" spans="2:17" ht="15">
      <c r="B18" s="1" t="s">
        <v>13</v>
      </c>
      <c r="C18" s="17">
        <f>1091949+375502</f>
        <v>1467451</v>
      </c>
      <c r="D18" s="18">
        <f>3361069+739543</f>
        <v>4100612</v>
      </c>
      <c r="E18" s="18">
        <f>2079182+1250214</f>
        <v>3329396</v>
      </c>
      <c r="F18" s="18">
        <f>1341457+107542</f>
        <v>1448999</v>
      </c>
      <c r="G18" s="19">
        <f>2537106+928176</f>
        <v>3465282</v>
      </c>
      <c r="H18" s="18">
        <f>1338236+465694</f>
        <v>1803930</v>
      </c>
      <c r="I18" s="20">
        <f>1134360+578369</f>
        <v>1712729</v>
      </c>
      <c r="K18" s="40">
        <f t="shared" si="8"/>
        <v>384.6529488859764</v>
      </c>
      <c r="L18" s="41">
        <f t="shared" si="9"/>
        <v>867.8543915343915</v>
      </c>
      <c r="M18" s="41">
        <f t="shared" si="10"/>
        <v>357.96107945382215</v>
      </c>
      <c r="N18" s="41">
        <f t="shared" si="11"/>
        <v>1014.7051820728291</v>
      </c>
      <c r="O18" s="38">
        <f t="shared" si="12"/>
        <v>436.3235960715185</v>
      </c>
      <c r="P18" s="41">
        <f t="shared" si="13"/>
        <v>413.082207465079</v>
      </c>
      <c r="Q18" s="48">
        <f t="shared" si="14"/>
        <v>652.4681904761904</v>
      </c>
    </row>
    <row r="19" spans="2:17" ht="15">
      <c r="B19" s="1" t="s">
        <v>14</v>
      </c>
      <c r="C19" s="17">
        <f>1119882+657213</f>
        <v>1777095</v>
      </c>
      <c r="D19" s="18">
        <f>1918929+732066</f>
        <v>2650995</v>
      </c>
      <c r="E19" s="18">
        <f>2020305+1733539</f>
        <v>3753844</v>
      </c>
      <c r="F19" s="18">
        <f>890401+327468</f>
        <v>1217869</v>
      </c>
      <c r="G19" s="19">
        <f>2034032+882590</f>
        <v>2916622</v>
      </c>
      <c r="H19" s="18">
        <f>1235031+704825</f>
        <v>1939856</v>
      </c>
      <c r="I19" s="20">
        <f>1007315+452897</f>
        <v>1460212</v>
      </c>
      <c r="K19" s="40">
        <f t="shared" si="8"/>
        <v>465.8178243774574</v>
      </c>
      <c r="L19" s="41">
        <f t="shared" si="9"/>
        <v>561.0571428571428</v>
      </c>
      <c r="M19" s="41">
        <f t="shared" si="10"/>
        <v>403.59574239329106</v>
      </c>
      <c r="N19" s="41">
        <f t="shared" si="11"/>
        <v>852.8494397759104</v>
      </c>
      <c r="O19" s="38">
        <f t="shared" si="12"/>
        <v>367.2402417527071</v>
      </c>
      <c r="P19" s="41">
        <f t="shared" si="13"/>
        <v>444.2079230593084</v>
      </c>
      <c r="Q19" s="48">
        <f t="shared" si="14"/>
        <v>556.2712380952381</v>
      </c>
    </row>
    <row r="20" spans="2:17" ht="13.5" thickBot="1">
      <c r="B20" s="1" t="s">
        <v>15</v>
      </c>
      <c r="C20" s="21">
        <f>2737167+2051822</f>
        <v>4788989</v>
      </c>
      <c r="D20" s="22">
        <f>3421673+1849487</f>
        <v>5271160</v>
      </c>
      <c r="E20" s="22">
        <f>2894087+4229010</f>
        <v>7123097</v>
      </c>
      <c r="F20" s="22">
        <f>2483283+838686</f>
        <v>3321969</v>
      </c>
      <c r="G20" s="23">
        <f>2826184+2785721</f>
        <v>5611905</v>
      </c>
      <c r="H20" s="22">
        <f>2536291+3647437</f>
        <v>6183728</v>
      </c>
      <c r="I20" s="24">
        <f>1992786+1334170</f>
        <v>3326956</v>
      </c>
      <c r="K20" s="49">
        <f t="shared" si="8"/>
        <v>1255.3051114023592</v>
      </c>
      <c r="L20" s="50">
        <f t="shared" si="9"/>
        <v>1115.589417989418</v>
      </c>
      <c r="M20" s="50">
        <f t="shared" si="10"/>
        <v>765.8420599935491</v>
      </c>
      <c r="N20" s="50">
        <f t="shared" si="11"/>
        <v>2326.3088235294117</v>
      </c>
      <c r="O20" s="51">
        <f t="shared" si="12"/>
        <v>706.6110551498363</v>
      </c>
      <c r="P20" s="50">
        <f t="shared" si="13"/>
        <v>1416.0128234485917</v>
      </c>
      <c r="Q20" s="52">
        <f t="shared" si="14"/>
        <v>1267.4118095238096</v>
      </c>
    </row>
    <row r="21" spans="2:17" s="11" customFormat="1" ht="15">
      <c r="B21" s="12" t="s">
        <v>7</v>
      </c>
      <c r="C21" s="30">
        <f aca="true" t="shared" si="15" ref="C21:I21">SUM(C16:C20)</f>
        <v>17846441</v>
      </c>
      <c r="D21" s="31">
        <f t="shared" si="15"/>
        <v>26641756</v>
      </c>
      <c r="E21" s="31">
        <f t="shared" si="15"/>
        <v>33811729</v>
      </c>
      <c r="F21" s="31">
        <f t="shared" si="15"/>
        <v>11160615</v>
      </c>
      <c r="G21" s="32">
        <f t="shared" si="15"/>
        <v>26196591</v>
      </c>
      <c r="H21" s="31">
        <f t="shared" si="15"/>
        <v>21151222</v>
      </c>
      <c r="I21" s="33">
        <f t="shared" si="15"/>
        <v>12349835</v>
      </c>
      <c r="K21" s="43">
        <f aca="true" t="shared" si="16" ref="K21:Q21">SUM(K16:K20)</f>
        <v>4677.966186107471</v>
      </c>
      <c r="L21" s="44">
        <f t="shared" si="16"/>
        <v>5638.466878306879</v>
      </c>
      <c r="M21" s="44">
        <f t="shared" si="16"/>
        <v>3635.2788947425006</v>
      </c>
      <c r="N21" s="44">
        <f t="shared" si="16"/>
        <v>7815.556722689076</v>
      </c>
      <c r="O21" s="39">
        <f t="shared" si="16"/>
        <v>3298.4879123646438</v>
      </c>
      <c r="P21" s="44">
        <f t="shared" si="16"/>
        <v>4843.421570872452</v>
      </c>
      <c r="Q21" s="45">
        <f t="shared" si="16"/>
        <v>4704.699047619048</v>
      </c>
    </row>
    <row r="22" spans="1:17" ht="15">
      <c r="A22" s="13" t="s">
        <v>18</v>
      </c>
      <c r="C22" s="17"/>
      <c r="D22" s="18"/>
      <c r="E22" s="18"/>
      <c r="F22" s="18"/>
      <c r="G22" s="19"/>
      <c r="H22" s="18"/>
      <c r="I22" s="20"/>
      <c r="K22" s="5"/>
      <c r="L22" s="6"/>
      <c r="M22" s="6"/>
      <c r="N22" s="6"/>
      <c r="O22" s="14"/>
      <c r="P22" s="6"/>
      <c r="Q22" s="7"/>
    </row>
    <row r="23" spans="2:17" ht="15">
      <c r="B23" s="11" t="s">
        <v>19</v>
      </c>
      <c r="C23" s="57">
        <v>3087</v>
      </c>
      <c r="D23" s="58">
        <v>4328</v>
      </c>
      <c r="E23" s="58">
        <v>7816</v>
      </c>
      <c r="F23" s="58">
        <v>1401</v>
      </c>
      <c r="G23" s="19">
        <v>7535</v>
      </c>
      <c r="H23" s="58">
        <v>3593</v>
      </c>
      <c r="I23" s="59">
        <v>2610</v>
      </c>
      <c r="K23" s="8"/>
      <c r="L23" s="9"/>
      <c r="M23" s="9"/>
      <c r="N23" s="9"/>
      <c r="O23" s="16"/>
      <c r="P23" s="9"/>
      <c r="Q23" s="10"/>
    </row>
    <row r="24" spans="2:17" ht="15">
      <c r="B24" s="1" t="s">
        <v>11</v>
      </c>
      <c r="C24" s="26">
        <f>8986869+2368446</f>
        <v>11355315</v>
      </c>
      <c r="D24" s="27">
        <f>13009435+1963887</f>
        <v>14973322</v>
      </c>
      <c r="E24" s="27">
        <f>16910414+8120031</f>
        <v>25030445</v>
      </c>
      <c r="F24" s="27">
        <f>5354398+585091</f>
        <v>5939489</v>
      </c>
      <c r="G24" s="32">
        <f>9689888+9102161</f>
        <v>18792049</v>
      </c>
      <c r="H24" s="27">
        <f>9875503+2828724</f>
        <v>12704227</v>
      </c>
      <c r="I24" s="29">
        <f>5114910+1192436</f>
        <v>6307346</v>
      </c>
      <c r="K24" s="42">
        <f>+C24/$C$23</f>
        <v>3678.430515063168</v>
      </c>
      <c r="L24" s="46">
        <f>+D24/$D$23</f>
        <v>3459.6400184842882</v>
      </c>
      <c r="M24" s="46">
        <f>+E24/$E$23</f>
        <v>3202.4622569089047</v>
      </c>
      <c r="N24" s="46">
        <f>+F24/$F$23</f>
        <v>4239.463954318344</v>
      </c>
      <c r="O24" s="39">
        <f>+G24/$G$23</f>
        <v>2493.96801592568</v>
      </c>
      <c r="P24" s="46">
        <f>+H24/$H$23</f>
        <v>3535.8271639298637</v>
      </c>
      <c r="Q24" s="47">
        <f>+I24/$I$23</f>
        <v>2416.607662835249</v>
      </c>
    </row>
    <row r="25" spans="2:17" ht="15">
      <c r="B25" s="1" t="s">
        <v>12</v>
      </c>
      <c r="C25" s="17">
        <f>264438+6000</f>
        <v>270438</v>
      </c>
      <c r="D25" s="18">
        <f>905720+1347594</f>
        <v>2253314</v>
      </c>
      <c r="E25" s="18">
        <f>652015+0</f>
        <v>652015</v>
      </c>
      <c r="F25" s="18">
        <f>604723+0</f>
        <v>604723</v>
      </c>
      <c r="G25" s="19">
        <f>366626+55155</f>
        <v>421781</v>
      </c>
      <c r="H25" s="18">
        <f>191596+0</f>
        <v>191596</v>
      </c>
      <c r="I25" s="20">
        <f>628018+47112</f>
        <v>675130</v>
      </c>
      <c r="K25" s="40">
        <f>+C25/$C$23</f>
        <v>87.60544217687075</v>
      </c>
      <c r="L25" s="41">
        <f>+D25/$D$23</f>
        <v>520.6363216266174</v>
      </c>
      <c r="M25" s="41">
        <f>+E25/$E$23</f>
        <v>83.42054759467759</v>
      </c>
      <c r="N25" s="41">
        <f>+F25/$F$23</f>
        <v>431.63668807994287</v>
      </c>
      <c r="O25" s="38">
        <f>+G25/$G$23</f>
        <v>55.97624419376244</v>
      </c>
      <c r="P25" s="41">
        <f>+H25/$H$23</f>
        <v>53.324798218758694</v>
      </c>
      <c r="Q25" s="48">
        <f>+I25/$I$23</f>
        <v>258.6704980842912</v>
      </c>
    </row>
    <row r="26" spans="2:17" ht="15">
      <c r="B26" s="1" t="s">
        <v>13</v>
      </c>
      <c r="C26" s="17">
        <f>1184128+646337</f>
        <v>1830465</v>
      </c>
      <c r="D26" s="18">
        <f>3830167+875425</f>
        <v>4705592</v>
      </c>
      <c r="E26" s="18">
        <f>1861623+1153443</f>
        <v>3015066</v>
      </c>
      <c r="F26" s="18">
        <f>1231012+280618</f>
        <v>1511630</v>
      </c>
      <c r="G26" s="19">
        <f>3097939+1173969</f>
        <v>4271908</v>
      </c>
      <c r="H26" s="18">
        <f>1396815+421894</f>
        <v>1818709</v>
      </c>
      <c r="I26" s="20">
        <f>1193187+480272</f>
        <v>1673459</v>
      </c>
      <c r="K26" s="40">
        <f>+C26/$C$23</f>
        <v>592.9591836734694</v>
      </c>
      <c r="L26" s="41">
        <f>+D26/$D$23</f>
        <v>1087.2439926062846</v>
      </c>
      <c r="M26" s="41">
        <f>+E26/$E$23</f>
        <v>385.75562947799386</v>
      </c>
      <c r="N26" s="41">
        <f>+F26/$F$23</f>
        <v>1078.9650249821557</v>
      </c>
      <c r="O26" s="38">
        <f>+G26/$G$23</f>
        <v>566.94200398142</v>
      </c>
      <c r="P26" s="41">
        <f>+H26/$H$23</f>
        <v>506.181185638742</v>
      </c>
      <c r="Q26" s="48">
        <f>+I26/$I$23</f>
        <v>641.172030651341</v>
      </c>
    </row>
    <row r="27" spans="2:17" ht="15">
      <c r="B27" s="1" t="s">
        <v>14</v>
      </c>
      <c r="C27" s="17">
        <f>1240453+528596</f>
        <v>1769049</v>
      </c>
      <c r="D27" s="18">
        <f>1998050+267203</f>
        <v>2265253</v>
      </c>
      <c r="E27" s="18">
        <f>1919460+961096</f>
        <v>2880556</v>
      </c>
      <c r="F27" s="18">
        <f>1028303+262574</f>
        <v>1290877</v>
      </c>
      <c r="G27" s="19">
        <f>2395076+249946</f>
        <v>2645022</v>
      </c>
      <c r="H27" s="18">
        <f>1233659+244727</f>
        <v>1478386</v>
      </c>
      <c r="I27" s="20">
        <f>1390575+153167</f>
        <v>1543742</v>
      </c>
      <c r="K27" s="40">
        <f>+C27/$C$23</f>
        <v>573.064139941691</v>
      </c>
      <c r="L27" s="41">
        <f>+D27/$D$23</f>
        <v>523.3948706099815</v>
      </c>
      <c r="M27" s="41">
        <f>+E27/$E$23</f>
        <v>368.5460593654043</v>
      </c>
      <c r="N27" s="41">
        <f>+F27/$F$23</f>
        <v>921.3968593861528</v>
      </c>
      <c r="O27" s="38">
        <f>+G27/$G$23</f>
        <v>351.03145321831454</v>
      </c>
      <c r="P27" s="41">
        <f>+H27/$H$23</f>
        <v>411.462844419705</v>
      </c>
      <c r="Q27" s="48">
        <f>+I27/$I$23</f>
        <v>591.472030651341</v>
      </c>
    </row>
    <row r="28" spans="2:17" ht="13.5" thickBot="1">
      <c r="B28" s="1" t="s">
        <v>15</v>
      </c>
      <c r="C28" s="21">
        <f>2404702+3161412</f>
        <v>5566114</v>
      </c>
      <c r="D28" s="22">
        <f>2448068+2769124</f>
        <v>5217192</v>
      </c>
      <c r="E28" s="22">
        <f>2818661+4965414</f>
        <v>7784075</v>
      </c>
      <c r="F28" s="22">
        <f>2106171+1383003</f>
        <v>3489174</v>
      </c>
      <c r="G28" s="23">
        <f>3592352+3268451</f>
        <v>6860803</v>
      </c>
      <c r="H28" s="22">
        <f>2506202+3584754</f>
        <v>6090956</v>
      </c>
      <c r="I28" s="24">
        <f>1831576+2489626</f>
        <v>4321202</v>
      </c>
      <c r="K28" s="49">
        <f>+C28/$C$23</f>
        <v>1803.0819565921606</v>
      </c>
      <c r="L28" s="50">
        <f>+D28/$D$23</f>
        <v>1205.4510166358596</v>
      </c>
      <c r="M28" s="50">
        <f>+E28/$E$23</f>
        <v>995.9154298874105</v>
      </c>
      <c r="N28" s="50">
        <f>+F28/$F$23</f>
        <v>2490.4882226980726</v>
      </c>
      <c r="O28" s="51">
        <f>+G28/$G$23</f>
        <v>910.5246184472462</v>
      </c>
      <c r="P28" s="50">
        <f>+H28/$H$23</f>
        <v>1695.2284998608404</v>
      </c>
      <c r="Q28" s="52">
        <f>+I28/$I$23</f>
        <v>1655.632950191571</v>
      </c>
    </row>
    <row r="29" spans="2:17" s="11" customFormat="1" ht="13.5" thickBot="1">
      <c r="B29" s="12" t="s">
        <v>7</v>
      </c>
      <c r="C29" s="34">
        <f aca="true" t="shared" si="17" ref="C29:I29">SUM(C24:C28)</f>
        <v>20791381</v>
      </c>
      <c r="D29" s="35">
        <f t="shared" si="17"/>
        <v>29414673</v>
      </c>
      <c r="E29" s="35">
        <f t="shared" si="17"/>
        <v>39362157</v>
      </c>
      <c r="F29" s="35">
        <f t="shared" si="17"/>
        <v>12835893</v>
      </c>
      <c r="G29" s="36">
        <f t="shared" si="17"/>
        <v>32991563</v>
      </c>
      <c r="H29" s="35">
        <f t="shared" si="17"/>
        <v>22283874</v>
      </c>
      <c r="I29" s="37">
        <f t="shared" si="17"/>
        <v>14520879</v>
      </c>
      <c r="K29" s="53">
        <f aca="true" t="shared" si="18" ref="K29:Q29">SUM(K23:K28)</f>
        <v>6735.14123744736</v>
      </c>
      <c r="L29" s="54">
        <f t="shared" si="18"/>
        <v>6796.366219963032</v>
      </c>
      <c r="M29" s="54">
        <f t="shared" si="18"/>
        <v>5036.099923234391</v>
      </c>
      <c r="N29" s="54">
        <f t="shared" si="18"/>
        <v>9161.950749464668</v>
      </c>
      <c r="O29" s="55">
        <f t="shared" si="18"/>
        <v>4378.442335766424</v>
      </c>
      <c r="P29" s="54">
        <f t="shared" si="18"/>
        <v>6202.02449206791</v>
      </c>
      <c r="Q29" s="56">
        <f t="shared" si="18"/>
        <v>5563.555172413792</v>
      </c>
    </row>
    <row r="31" spans="1:2" ht="15">
      <c r="A31" s="1" t="s">
        <v>8</v>
      </c>
      <c r="B31" s="1" t="s">
        <v>22</v>
      </c>
    </row>
    <row r="32" ht="15">
      <c r="B32" s="1" t="s">
        <v>23</v>
      </c>
    </row>
    <row r="33" ht="15">
      <c r="B33" s="1" t="s">
        <v>24</v>
      </c>
    </row>
    <row r="35" ht="15">
      <c r="A35" s="1" t="s">
        <v>25</v>
      </c>
    </row>
    <row r="36" spans="2:3" ht="15">
      <c r="B36" s="1" t="s">
        <v>11</v>
      </c>
      <c r="C36" s="1" t="s">
        <v>26</v>
      </c>
    </row>
    <row r="37" spans="2:3" ht="15">
      <c r="B37" s="1" t="s">
        <v>12</v>
      </c>
      <c r="C37" s="1" t="s">
        <v>27</v>
      </c>
    </row>
    <row r="38" spans="2:3" ht="15">
      <c r="B38" s="1" t="s">
        <v>13</v>
      </c>
      <c r="C38" s="1" t="s">
        <v>28</v>
      </c>
    </row>
    <row r="39" spans="2:3" ht="15">
      <c r="B39" s="1" t="s">
        <v>14</v>
      </c>
      <c r="C39" s="1" t="s">
        <v>29</v>
      </c>
    </row>
    <row r="40" spans="2:3" ht="15">
      <c r="B40" s="1" t="s">
        <v>15</v>
      </c>
      <c r="C40" s="1" t="s">
        <v>30</v>
      </c>
    </row>
  </sheetData>
  <mergeCells count="2">
    <mergeCell ref="C4:I4"/>
    <mergeCell ref="K4:Q4"/>
  </mergeCells>
  <printOptions gridLines="1" horizontalCentered="1"/>
  <pageMargins left="0" right="0" top="0.75" bottom="0.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Leeward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Lane</dc:creator>
  <cp:keywords/>
  <dc:description/>
  <cp:lastModifiedBy>Mark Lane</cp:lastModifiedBy>
  <cp:lastPrinted>2016-12-19T23:00:16Z</cp:lastPrinted>
  <dcterms:created xsi:type="dcterms:W3CDTF">2016-12-17T00:29:40Z</dcterms:created>
  <dcterms:modified xsi:type="dcterms:W3CDTF">2016-12-19T23:01:03Z</dcterms:modified>
  <cp:category/>
  <cp:version/>
  <cp:contentType/>
  <cp:contentStatus/>
</cp:coreProperties>
</file>