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lane\Documents\mark lanes documents\Financial Management Grou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9" i="1" s="1"/>
  <c r="F26" i="1"/>
  <c r="F25" i="1"/>
  <c r="F24" i="1"/>
  <c r="H28" i="1"/>
  <c r="H27" i="1"/>
  <c r="H26" i="1"/>
  <c r="H25" i="1"/>
  <c r="H24" i="1"/>
  <c r="C28" i="1"/>
  <c r="C27" i="1"/>
  <c r="C26" i="1"/>
  <c r="C25" i="1"/>
  <c r="C24" i="1"/>
  <c r="I28" i="1"/>
  <c r="I27" i="1"/>
  <c r="I26" i="1"/>
  <c r="I25" i="1"/>
  <c r="I24" i="1"/>
  <c r="G28" i="1"/>
  <c r="G27" i="1"/>
  <c r="G26" i="1"/>
  <c r="G25" i="1"/>
  <c r="G24" i="1"/>
  <c r="E28" i="1"/>
  <c r="E27" i="1"/>
  <c r="E26" i="1"/>
  <c r="E25" i="1"/>
  <c r="E24" i="1"/>
  <c r="D28" i="1"/>
  <c r="D27" i="1"/>
  <c r="D26" i="1"/>
  <c r="D25" i="1"/>
  <c r="D24" i="1"/>
  <c r="F10" i="1"/>
  <c r="F13" i="1"/>
  <c r="N9" i="1" s="1"/>
  <c r="H10" i="1"/>
  <c r="P10" i="1" s="1"/>
  <c r="C10" i="1"/>
  <c r="I10" i="1"/>
  <c r="G10" i="1"/>
  <c r="E10" i="1"/>
  <c r="D10" i="1"/>
  <c r="I21" i="1"/>
  <c r="H21" i="1"/>
  <c r="G21" i="1"/>
  <c r="F21" i="1"/>
  <c r="E21" i="1"/>
  <c r="D21" i="1"/>
  <c r="C21" i="1"/>
  <c r="I13" i="1"/>
  <c r="Q8" i="1" s="1"/>
  <c r="H13" i="1"/>
  <c r="P12" i="1" s="1"/>
  <c r="G13" i="1"/>
  <c r="O9" i="1" s="1"/>
  <c r="E13" i="1"/>
  <c r="M12" i="1" s="1"/>
  <c r="C13" i="1"/>
  <c r="K11" i="1" s="1"/>
  <c r="F20" i="1"/>
  <c r="F19" i="1"/>
  <c r="F18" i="1"/>
  <c r="F17" i="1"/>
  <c r="F16" i="1"/>
  <c r="H20" i="1"/>
  <c r="H19" i="1"/>
  <c r="H18" i="1"/>
  <c r="H17" i="1"/>
  <c r="H16" i="1"/>
  <c r="C20" i="1"/>
  <c r="C19" i="1"/>
  <c r="C18" i="1"/>
  <c r="C17" i="1"/>
  <c r="C16" i="1"/>
  <c r="I20" i="1"/>
  <c r="I19" i="1"/>
  <c r="I18" i="1"/>
  <c r="I17" i="1"/>
  <c r="I16" i="1"/>
  <c r="G20" i="1"/>
  <c r="G19" i="1"/>
  <c r="G18" i="1"/>
  <c r="G17" i="1"/>
  <c r="G16" i="1"/>
  <c r="D18" i="1"/>
  <c r="E18" i="1"/>
  <c r="E20" i="1"/>
  <c r="E19" i="1"/>
  <c r="E17" i="1"/>
  <c r="E16" i="1"/>
  <c r="D20" i="1"/>
  <c r="D19" i="1"/>
  <c r="D17" i="1"/>
  <c r="D16" i="1"/>
  <c r="Q11" i="1"/>
  <c r="Q10" i="1"/>
  <c r="Q9" i="1"/>
  <c r="O11" i="1"/>
  <c r="O10" i="1"/>
  <c r="K10" i="1"/>
  <c r="K9" i="1"/>
  <c r="K8" i="1"/>
  <c r="F12" i="1"/>
  <c r="F11" i="1"/>
  <c r="F8" i="1"/>
  <c r="H12" i="1"/>
  <c r="H11" i="1"/>
  <c r="H9" i="1"/>
  <c r="H8" i="1"/>
  <c r="C12" i="1"/>
  <c r="C11" i="1"/>
  <c r="C9" i="1"/>
  <c r="C8" i="1"/>
  <c r="I12" i="1"/>
  <c r="I11" i="1"/>
  <c r="I9" i="1"/>
  <c r="I8" i="1"/>
  <c r="G12" i="1"/>
  <c r="G11" i="1"/>
  <c r="G9" i="1"/>
  <c r="G8" i="1"/>
  <c r="D13" i="1"/>
  <c r="L12" i="1" s="1"/>
  <c r="E12" i="1"/>
  <c r="E11" i="1"/>
  <c r="E9" i="1"/>
  <c r="E8" i="1"/>
  <c r="D12" i="1"/>
  <c r="D11" i="1"/>
  <c r="D9" i="1"/>
  <c r="D8" i="1"/>
  <c r="H29" i="1" l="1"/>
  <c r="P24" i="1" s="1"/>
  <c r="C29" i="1"/>
  <c r="K24" i="1" s="1"/>
  <c r="I29" i="1"/>
  <c r="Q26" i="1" s="1"/>
  <c r="G29" i="1"/>
  <c r="O24" i="1" s="1"/>
  <c r="E29" i="1"/>
  <c r="M26" i="1" s="1"/>
  <c r="D29" i="1"/>
  <c r="L26" i="1" s="1"/>
  <c r="P8" i="1"/>
  <c r="P9" i="1"/>
  <c r="P11" i="1"/>
  <c r="Q12" i="1"/>
  <c r="O12" i="1"/>
  <c r="O8" i="1"/>
  <c r="L8" i="1"/>
  <c r="L9" i="1"/>
  <c r="L11" i="1"/>
  <c r="L10" i="1"/>
  <c r="N10" i="1"/>
  <c r="N12" i="1"/>
  <c r="N11" i="1"/>
  <c r="N8" i="1"/>
  <c r="M10" i="1"/>
  <c r="M8" i="1"/>
  <c r="M9" i="1"/>
  <c r="M11" i="1"/>
  <c r="K12" i="1"/>
  <c r="N28" i="1"/>
  <c r="Q19" i="1"/>
  <c r="P17" i="1"/>
  <c r="O19" i="1"/>
  <c r="N20" i="1"/>
  <c r="M19" i="1"/>
  <c r="L19" i="1"/>
  <c r="O16" i="1" l="1"/>
  <c r="N18" i="1"/>
  <c r="K17" i="1"/>
  <c r="O27" i="1"/>
  <c r="K18" i="1"/>
  <c r="O17" i="1"/>
  <c r="O20" i="1"/>
  <c r="M28" i="1"/>
  <c r="L18" i="1"/>
  <c r="M16" i="1"/>
  <c r="Q28" i="1"/>
  <c r="K27" i="1"/>
  <c r="P25" i="1"/>
  <c r="Q27" i="1"/>
  <c r="M20" i="1"/>
  <c r="K16" i="1"/>
  <c r="N16" i="1"/>
  <c r="L25" i="1"/>
  <c r="P26" i="1"/>
  <c r="P27" i="1"/>
  <c r="N19" i="1"/>
  <c r="M24" i="1"/>
  <c r="K20" i="1"/>
  <c r="Q18" i="1"/>
  <c r="M27" i="1"/>
  <c r="Q24" i="1"/>
  <c r="L20" i="1"/>
  <c r="P18" i="1"/>
  <c r="Q20" i="1"/>
  <c r="K25" i="1"/>
  <c r="L27" i="1"/>
  <c r="O25" i="1"/>
  <c r="K19" i="1"/>
  <c r="N17" i="1"/>
  <c r="P19" i="1"/>
  <c r="K26" i="1"/>
  <c r="L28" i="1"/>
  <c r="N24" i="1"/>
  <c r="O26" i="1"/>
  <c r="P28" i="1"/>
  <c r="N26" i="1"/>
  <c r="P20" i="1"/>
  <c r="K28" i="1"/>
  <c r="O28" i="1"/>
  <c r="L16" i="1"/>
  <c r="M18" i="1"/>
  <c r="Q16" i="1"/>
  <c r="O18" i="1"/>
  <c r="M25" i="1"/>
  <c r="N27" i="1"/>
  <c r="Q25" i="1"/>
  <c r="N25" i="1"/>
  <c r="M17" i="1"/>
  <c r="L17" i="1"/>
  <c r="Q17" i="1"/>
  <c r="L24" i="1"/>
  <c r="P16" i="1"/>
  <c r="K21" i="1" l="1"/>
  <c r="P29" i="1"/>
  <c r="M21" i="1"/>
  <c r="N21" i="1"/>
  <c r="Q13" i="1"/>
  <c r="M29" i="1"/>
  <c r="K13" i="1"/>
  <c r="K29" i="1"/>
  <c r="N13" i="1"/>
  <c r="Q21" i="1"/>
  <c r="O21" i="1"/>
  <c r="M13" i="1"/>
  <c r="N29" i="1"/>
  <c r="O13" i="1"/>
  <c r="L13" i="1"/>
  <c r="L29" i="1"/>
  <c r="Q29" i="1"/>
  <c r="L21" i="1"/>
  <c r="O29" i="1"/>
  <c r="P21" i="1"/>
  <c r="P13" i="1"/>
</calcChain>
</file>

<file path=xl/sharedStrings.xml><?xml version="1.0" encoding="utf-8"?>
<sst xmlns="http://schemas.openxmlformats.org/spreadsheetml/2006/main" count="56" uniqueCount="30">
  <si>
    <t>HAW CC</t>
  </si>
  <si>
    <t>HON CC</t>
  </si>
  <si>
    <t>KAP CC</t>
  </si>
  <si>
    <t>KAU CC</t>
  </si>
  <si>
    <t>LEE CC</t>
  </si>
  <si>
    <t>MAUI</t>
  </si>
  <si>
    <t>WIN CC</t>
  </si>
  <si>
    <t>Total</t>
  </si>
  <si>
    <t xml:space="preserve">Source:  </t>
  </si>
  <si>
    <t>EXPENDITURES BY MEANS OF FINANCING AND PROGRAM</t>
  </si>
  <si>
    <t>FY 2007</t>
  </si>
  <si>
    <t>General Funds - Authorized FTE</t>
  </si>
  <si>
    <t>General Funds and Tuition (TFSF) Expenditures Only</t>
  </si>
  <si>
    <t>Instruction</t>
  </si>
  <si>
    <t>Public Service</t>
  </si>
  <si>
    <t>Academic Support</t>
  </si>
  <si>
    <t>Student Services</t>
  </si>
  <si>
    <t>Institutional Support</t>
  </si>
  <si>
    <t>Total General Fund and Tuition Expenditures by Program</t>
  </si>
  <si>
    <t>Percentage of Expenditures by Program</t>
  </si>
  <si>
    <t>FY 2010</t>
  </si>
  <si>
    <t>FY 2015</t>
  </si>
  <si>
    <t>University of Hawaii - Community Colleges; Expenditure Data Reports</t>
  </si>
  <si>
    <t>Expenditures per Appropriated Fund Expenditure Summary Report</t>
  </si>
  <si>
    <t>Definitions:</t>
  </si>
  <si>
    <t>all direct instructional activities plus dean's offices and divisional offices; student success council initiatives; Native Hawaiian programs</t>
  </si>
  <si>
    <t>theatre and continuing education (OCEWD) activities</t>
  </si>
  <si>
    <t>library; educational media center; staff development; LRC and writing center; ITG; KI; dean's office; copy/duplicating center</t>
  </si>
  <si>
    <t>counseling; admissions and records; financial aid; student life; student recruitment; job prep; dean's office; tuition scholarships; freshman year experience</t>
  </si>
  <si>
    <t xml:space="preserve">chancellor's office; administrative services functions; utilities; accreditation; OPPA; workers comp; UH and UHCC assessments; commencement; sustainability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</si>
</sst>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164" fontId="2" fillId="0" borderId="4" xfId="1" applyNumberFormat="1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4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0" fontId="4" fillId="0" borderId="0" xfId="0" applyFont="1"/>
    <xf numFmtId="0" fontId="5" fillId="0" borderId="0" xfId="0" applyFont="1" applyFill="1" applyBorder="1"/>
    <xf numFmtId="0" fontId="5" fillId="0" borderId="7" xfId="0" applyFont="1" applyFill="1" applyBorder="1" applyAlignment="1">
      <alignment horizontal="center"/>
    </xf>
    <xf numFmtId="164" fontId="5" fillId="0" borderId="0" xfId="1" applyNumberFormat="1" applyFont="1" applyFill="1" applyBorder="1"/>
    <xf numFmtId="164" fontId="5" fillId="0" borderId="7" xfId="1" applyNumberFormat="1" applyFont="1" applyFill="1" applyBorder="1"/>
    <xf numFmtId="38" fontId="2" fillId="0" borderId="4" xfId="0" applyNumberFormat="1" applyFont="1" applyBorder="1"/>
    <xf numFmtId="38" fontId="2" fillId="0" borderId="0" xfId="0" applyNumberFormat="1" applyFont="1" applyBorder="1"/>
    <xf numFmtId="38" fontId="5" fillId="0" borderId="0" xfId="0" applyNumberFormat="1" applyFont="1" applyFill="1" applyBorder="1"/>
    <xf numFmtId="38" fontId="2" fillId="0" borderId="5" xfId="0" applyNumberFormat="1" applyFont="1" applyBorder="1"/>
    <xf numFmtId="38" fontId="2" fillId="0" borderId="6" xfId="0" applyNumberFormat="1" applyFont="1" applyBorder="1"/>
    <xf numFmtId="38" fontId="2" fillId="0" borderId="7" xfId="0" applyNumberFormat="1" applyFont="1" applyBorder="1"/>
    <xf numFmtId="38" fontId="5" fillId="0" borderId="7" xfId="0" applyNumberFormat="1" applyFont="1" applyFill="1" applyBorder="1"/>
    <xf numFmtId="38" fontId="2" fillId="0" borderId="8" xfId="0" applyNumberFormat="1" applyFont="1" applyBorder="1"/>
    <xf numFmtId="40" fontId="5" fillId="0" borderId="0" xfId="0" applyNumberFormat="1" applyFont="1" applyFill="1" applyBorder="1"/>
    <xf numFmtId="38" fontId="5" fillId="0" borderId="0" xfId="0" applyNumberFormat="1" applyFont="1" applyBorder="1"/>
    <xf numFmtId="6" fontId="2" fillId="0" borderId="4" xfId="0" applyNumberFormat="1" applyFont="1" applyBorder="1"/>
    <xf numFmtId="6" fontId="2" fillId="0" borderId="0" xfId="0" applyNumberFormat="1" applyFont="1" applyBorder="1"/>
    <xf numFmtId="6" fontId="5" fillId="0" borderId="0" xfId="0" applyNumberFormat="1" applyFont="1" applyBorder="1"/>
    <xf numFmtId="6" fontId="2" fillId="0" borderId="5" xfId="0" applyNumberFormat="1" applyFont="1" applyBorder="1"/>
    <xf numFmtId="6" fontId="3" fillId="0" borderId="4" xfId="0" applyNumberFormat="1" applyFont="1" applyBorder="1"/>
    <xf numFmtId="6" fontId="3" fillId="0" borderId="0" xfId="0" applyNumberFormat="1" applyFont="1" applyBorder="1"/>
    <xf numFmtId="6" fontId="5" fillId="0" borderId="0" xfId="0" applyNumberFormat="1" applyFont="1" applyFill="1" applyBorder="1"/>
    <xf numFmtId="6" fontId="3" fillId="0" borderId="5" xfId="0" applyNumberFormat="1" applyFont="1" applyBorder="1"/>
    <xf numFmtId="6" fontId="3" fillId="0" borderId="6" xfId="0" applyNumberFormat="1" applyFont="1" applyBorder="1"/>
    <xf numFmtId="6" fontId="3" fillId="0" borderId="7" xfId="0" applyNumberFormat="1" applyFont="1" applyBorder="1"/>
    <xf numFmtId="6" fontId="5" fillId="0" borderId="7" xfId="0" applyNumberFormat="1" applyFont="1" applyFill="1" applyBorder="1"/>
    <xf numFmtId="6" fontId="3" fillId="0" borderId="8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0" fontId="3" fillId="0" borderId="4" xfId="0" applyNumberFormat="1" applyFont="1" applyBorder="1"/>
    <xf numFmtId="40" fontId="3" fillId="0" borderId="0" xfId="0" applyNumberFormat="1" applyFont="1" applyBorder="1"/>
    <xf numFmtId="40" fontId="3" fillId="0" borderId="5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120" zoomScaleNormal="120" workbookViewId="0"/>
  </sheetViews>
  <sheetFormatPr defaultRowHeight="12.75" x14ac:dyDescent="0.2"/>
  <cols>
    <col min="1" max="1" width="6.7109375" style="1" customWidth="1"/>
    <col min="2" max="2" width="25.7109375" style="1" customWidth="1"/>
    <col min="3" max="9" width="10.7109375" style="1" customWidth="1"/>
    <col min="10" max="10" width="1.7109375" style="1" customWidth="1"/>
    <col min="11" max="17" width="7.7109375" style="1" customWidth="1"/>
    <col min="18" max="16384" width="9.140625" style="1"/>
  </cols>
  <sheetData>
    <row r="1" spans="1:17" x14ac:dyDescent="0.2">
      <c r="A1" s="14" t="s">
        <v>9</v>
      </c>
    </row>
    <row r="2" spans="1:17" x14ac:dyDescent="0.2">
      <c r="A2" s="14" t="s">
        <v>12</v>
      </c>
    </row>
    <row r="3" spans="1:17" ht="13.5" thickBot="1" x14ac:dyDescent="0.25"/>
    <row r="4" spans="1:17" x14ac:dyDescent="0.2">
      <c r="C4" s="49" t="s">
        <v>18</v>
      </c>
      <c r="D4" s="50"/>
      <c r="E4" s="50"/>
      <c r="F4" s="50"/>
      <c r="G4" s="50"/>
      <c r="H4" s="50"/>
      <c r="I4" s="51"/>
      <c r="K4" s="49" t="s">
        <v>19</v>
      </c>
      <c r="L4" s="50"/>
      <c r="M4" s="50"/>
      <c r="N4" s="50"/>
      <c r="O4" s="50"/>
      <c r="P4" s="50"/>
      <c r="Q4" s="51"/>
    </row>
    <row r="5" spans="1:17" ht="13.5" thickBot="1" x14ac:dyDescent="0.25">
      <c r="C5" s="2" t="s">
        <v>0</v>
      </c>
      <c r="D5" s="3" t="s">
        <v>1</v>
      </c>
      <c r="E5" s="3" t="s">
        <v>2</v>
      </c>
      <c r="F5" s="3" t="s">
        <v>3</v>
      </c>
      <c r="G5" s="24" t="s">
        <v>4</v>
      </c>
      <c r="H5" s="3" t="s">
        <v>5</v>
      </c>
      <c r="I5" s="4" t="s">
        <v>6</v>
      </c>
      <c r="K5" s="2" t="s">
        <v>0</v>
      </c>
      <c r="L5" s="3" t="s">
        <v>1</v>
      </c>
      <c r="M5" s="3" t="s">
        <v>2</v>
      </c>
      <c r="N5" s="3" t="s">
        <v>3</v>
      </c>
      <c r="O5" s="24" t="s">
        <v>4</v>
      </c>
      <c r="P5" s="3" t="s">
        <v>5</v>
      </c>
      <c r="Q5" s="4" t="s">
        <v>6</v>
      </c>
    </row>
    <row r="6" spans="1:17" x14ac:dyDescent="0.2">
      <c r="A6" s="22" t="s">
        <v>10</v>
      </c>
      <c r="C6" s="5"/>
      <c r="D6" s="6"/>
      <c r="E6" s="6"/>
      <c r="F6" s="6"/>
      <c r="G6" s="23"/>
      <c r="H6" s="6"/>
      <c r="I6" s="7"/>
      <c r="K6" s="5"/>
      <c r="L6" s="6"/>
      <c r="M6" s="6"/>
      <c r="N6" s="6"/>
      <c r="O6" s="23"/>
      <c r="P6" s="6"/>
      <c r="Q6" s="7"/>
    </row>
    <row r="7" spans="1:17" x14ac:dyDescent="0.2">
      <c r="B7" s="14" t="s">
        <v>11</v>
      </c>
      <c r="C7" s="52">
        <v>199</v>
      </c>
      <c r="D7" s="53">
        <v>313</v>
      </c>
      <c r="E7" s="53">
        <v>365.5</v>
      </c>
      <c r="F7" s="53">
        <v>154.5</v>
      </c>
      <c r="G7" s="35">
        <v>308</v>
      </c>
      <c r="H7" s="53">
        <v>198.75</v>
      </c>
      <c r="I7" s="54">
        <v>137</v>
      </c>
      <c r="K7" s="8"/>
      <c r="L7" s="9"/>
      <c r="M7" s="9"/>
      <c r="N7" s="9"/>
      <c r="O7" s="25"/>
      <c r="P7" s="9"/>
      <c r="Q7" s="10"/>
    </row>
    <row r="8" spans="1:17" x14ac:dyDescent="0.2">
      <c r="B8" s="1" t="s">
        <v>13</v>
      </c>
      <c r="C8" s="37">
        <f>6304250+950509</f>
        <v>7254759</v>
      </c>
      <c r="D8" s="38">
        <f>11118470+1293547</f>
        <v>12412017</v>
      </c>
      <c r="E8" s="38">
        <f>13261111+2639729</f>
        <v>15900840</v>
      </c>
      <c r="F8" s="38">
        <f>3888284+86042</f>
        <v>3974326</v>
      </c>
      <c r="G8" s="39">
        <f>9450877+1437755</f>
        <v>10888632</v>
      </c>
      <c r="H8" s="38">
        <f>6869806+553049</f>
        <v>7422855</v>
      </c>
      <c r="I8" s="40">
        <f>3088752+98798</f>
        <v>3187550</v>
      </c>
      <c r="K8" s="8">
        <f>+C8/$C$13</f>
        <v>0.49986615819873531</v>
      </c>
      <c r="L8" s="9">
        <f>+D8/$D$13</f>
        <v>0.520149282471978</v>
      </c>
      <c r="M8" s="9">
        <f>+E8/$E$13</f>
        <v>0.57452284062906278</v>
      </c>
      <c r="N8" s="9">
        <f>+F8/$F$13</f>
        <v>0.40143490601294912</v>
      </c>
      <c r="O8" s="25">
        <f>+G8/$G$13</f>
        <v>0.52313103811221773</v>
      </c>
      <c r="P8" s="9">
        <f>+H8/$H$13</f>
        <v>0.4733368958109217</v>
      </c>
      <c r="Q8" s="10">
        <f>+I8/$I$13</f>
        <v>0.31125724864040083</v>
      </c>
    </row>
    <row r="9" spans="1:17" x14ac:dyDescent="0.2">
      <c r="B9" s="1" t="s">
        <v>14</v>
      </c>
      <c r="C9" s="27">
        <f>543047+158</f>
        <v>543205</v>
      </c>
      <c r="D9" s="28">
        <f>1806025+24397</f>
        <v>1830422</v>
      </c>
      <c r="E9" s="28">
        <f>522997+26220</f>
        <v>549217</v>
      </c>
      <c r="F9" s="28">
        <v>392042</v>
      </c>
      <c r="G9" s="36">
        <f>209440+19739</f>
        <v>229179</v>
      </c>
      <c r="H9" s="28">
        <f>420887+333603</f>
        <v>754490</v>
      </c>
      <c r="I9" s="30">
        <f>1485156+145970</f>
        <v>1631126</v>
      </c>
      <c r="K9" s="8">
        <f t="shared" ref="K9:K12" si="0">+C9/$C$13</f>
        <v>3.7427817583512289E-2</v>
      </c>
      <c r="L9" s="9">
        <f t="shared" ref="L9:L12" si="1">+D9/$D$13</f>
        <v>7.6707330478271413E-2</v>
      </c>
      <c r="M9" s="9">
        <f t="shared" ref="M9:M12" si="2">+E9/$E$13</f>
        <v>1.9844090687144326E-2</v>
      </c>
      <c r="N9" s="9">
        <f t="shared" ref="N9:N12" si="3">+F9/$F$13</f>
        <v>3.9599002050442915E-2</v>
      </c>
      <c r="O9" s="25">
        <f t="shared" ref="O9:O12" si="4">+G9/$G$13</f>
        <v>1.1010625410383961E-2</v>
      </c>
      <c r="P9" s="9">
        <f t="shared" ref="P9:P12" si="5">+H9/$H$13</f>
        <v>4.8111940017740121E-2</v>
      </c>
      <c r="Q9" s="10">
        <f t="shared" ref="Q9:Q12" si="6">+I9/$I$13</f>
        <v>0.15927586734194679</v>
      </c>
    </row>
    <row r="10" spans="1:17" x14ac:dyDescent="0.2">
      <c r="B10" s="1" t="s">
        <v>15</v>
      </c>
      <c r="C10" s="27">
        <f>1419032+71567</f>
        <v>1490599</v>
      </c>
      <c r="D10" s="28">
        <f>2208327+450111</f>
        <v>2658438</v>
      </c>
      <c r="E10" s="28">
        <f>2029744+660836</f>
        <v>2690580</v>
      </c>
      <c r="F10" s="28">
        <f>1240005+120414</f>
        <v>1360419</v>
      </c>
      <c r="G10" s="36">
        <f>2288845+1050495</f>
        <v>3339340</v>
      </c>
      <c r="H10" s="28">
        <f>1257630+352060</f>
        <v>1609690</v>
      </c>
      <c r="I10" s="30">
        <f>1076509+274035</f>
        <v>1350544</v>
      </c>
      <c r="K10" s="8">
        <f t="shared" si="0"/>
        <v>0.10270499620247574</v>
      </c>
      <c r="L10" s="9">
        <f t="shared" si="1"/>
        <v>0.11140692267793706</v>
      </c>
      <c r="M10" s="9">
        <f t="shared" si="2"/>
        <v>9.7214968802889892E-2</v>
      </c>
      <c r="N10" s="9">
        <f t="shared" si="3"/>
        <v>0.13741189660919367</v>
      </c>
      <c r="O10" s="25">
        <f t="shared" si="4"/>
        <v>0.16043451563150019</v>
      </c>
      <c r="P10" s="9">
        <f t="shared" si="5"/>
        <v>0.10264590481935625</v>
      </c>
      <c r="Q10" s="10">
        <f t="shared" si="6"/>
        <v>0.13187765199222021</v>
      </c>
    </row>
    <row r="11" spans="1:17" x14ac:dyDescent="0.2">
      <c r="B11" s="1" t="s">
        <v>16</v>
      </c>
      <c r="C11" s="27">
        <f>1012981+98597</f>
        <v>1111578</v>
      </c>
      <c r="D11" s="28">
        <f>1391749+264588</f>
        <v>1656337</v>
      </c>
      <c r="E11" s="28">
        <f>1852879+387885</f>
        <v>2240764</v>
      </c>
      <c r="F11" s="28">
        <f>798289+57382</f>
        <v>855671</v>
      </c>
      <c r="G11" s="36">
        <f>1790889+77819</f>
        <v>1868708</v>
      </c>
      <c r="H11" s="28">
        <f>874608+239586</f>
        <v>1114194</v>
      </c>
      <c r="I11" s="30">
        <f>820249+40715</f>
        <v>860964</v>
      </c>
      <c r="K11" s="8">
        <f t="shared" si="0"/>
        <v>7.6589756378982937E-2</v>
      </c>
      <c r="L11" s="9">
        <f t="shared" si="1"/>
        <v>6.9411966006958301E-2</v>
      </c>
      <c r="M11" s="9">
        <f t="shared" si="2"/>
        <v>8.0962395600442563E-2</v>
      </c>
      <c r="N11" s="9">
        <f t="shared" si="3"/>
        <v>8.6428795087017563E-2</v>
      </c>
      <c r="O11" s="25">
        <f t="shared" si="4"/>
        <v>8.9779795659234884E-2</v>
      </c>
      <c r="P11" s="9">
        <f t="shared" si="5"/>
        <v>7.1049364333690218E-2</v>
      </c>
      <c r="Q11" s="10">
        <f t="shared" si="6"/>
        <v>8.4071241492191209E-2</v>
      </c>
    </row>
    <row r="12" spans="1:17" x14ac:dyDescent="0.2">
      <c r="B12" s="1" t="s">
        <v>17</v>
      </c>
      <c r="C12" s="27">
        <f>3317315+795947</f>
        <v>4113262</v>
      </c>
      <c r="D12" s="28">
        <f>4520612+784587</f>
        <v>5305199</v>
      </c>
      <c r="E12" s="28">
        <f>2961359+3333842</f>
        <v>6295201</v>
      </c>
      <c r="F12" s="28">
        <f>2651882+665960</f>
        <v>3317842</v>
      </c>
      <c r="G12" s="36">
        <f>2257917+2230573</f>
        <v>4488490</v>
      </c>
      <c r="H12" s="28">
        <f>3512329+1268412</f>
        <v>4780741</v>
      </c>
      <c r="I12" s="30">
        <f>2300843+909859</f>
        <v>3210702</v>
      </c>
      <c r="K12" s="8">
        <f t="shared" si="0"/>
        <v>0.2834112716362937</v>
      </c>
      <c r="L12" s="9">
        <f t="shared" si="1"/>
        <v>0.22232449836485521</v>
      </c>
      <c r="M12" s="9">
        <f t="shared" si="2"/>
        <v>0.22745570428046044</v>
      </c>
      <c r="N12" s="9">
        <f t="shared" si="3"/>
        <v>0.33512540024039678</v>
      </c>
      <c r="O12" s="25">
        <f t="shared" si="4"/>
        <v>0.21564402518666329</v>
      </c>
      <c r="P12" s="9">
        <f t="shared" si="5"/>
        <v>0.30485589501829169</v>
      </c>
      <c r="Q12" s="10">
        <f t="shared" si="6"/>
        <v>0.31351799053324098</v>
      </c>
    </row>
    <row r="13" spans="1:17" s="14" customFormat="1" x14ac:dyDescent="0.2">
      <c r="B13" s="15" t="s">
        <v>7</v>
      </c>
      <c r="C13" s="41">
        <f t="shared" ref="C13:I13" si="7">SUM(C8:C12)</f>
        <v>14513403</v>
      </c>
      <c r="D13" s="42">
        <f t="shared" si="7"/>
        <v>23862413</v>
      </c>
      <c r="E13" s="42">
        <f t="shared" si="7"/>
        <v>27676602</v>
      </c>
      <c r="F13" s="42">
        <f t="shared" si="7"/>
        <v>9900300</v>
      </c>
      <c r="G13" s="43">
        <f t="shared" si="7"/>
        <v>20814349</v>
      </c>
      <c r="H13" s="42">
        <f t="shared" si="7"/>
        <v>15681970</v>
      </c>
      <c r="I13" s="44">
        <f t="shared" si="7"/>
        <v>10240886</v>
      </c>
      <c r="K13" s="16">
        <f t="shared" ref="K13:Q13" si="8">SUM(K7:K12)</f>
        <v>1</v>
      </c>
      <c r="L13" s="17">
        <f t="shared" si="8"/>
        <v>1</v>
      </c>
      <c r="M13" s="17">
        <f t="shared" si="8"/>
        <v>1</v>
      </c>
      <c r="N13" s="17">
        <f t="shared" si="8"/>
        <v>1</v>
      </c>
      <c r="O13" s="25">
        <f t="shared" si="8"/>
        <v>1</v>
      </c>
      <c r="P13" s="17">
        <f t="shared" si="8"/>
        <v>1</v>
      </c>
      <c r="Q13" s="18">
        <f t="shared" si="8"/>
        <v>1</v>
      </c>
    </row>
    <row r="14" spans="1:17" x14ac:dyDescent="0.2">
      <c r="A14" s="22" t="s">
        <v>20</v>
      </c>
      <c r="C14" s="27"/>
      <c r="D14" s="28"/>
      <c r="E14" s="28"/>
      <c r="F14" s="28"/>
      <c r="G14" s="29"/>
      <c r="H14" s="28"/>
      <c r="I14" s="30"/>
      <c r="K14" s="5"/>
      <c r="L14" s="6"/>
      <c r="M14" s="6"/>
      <c r="N14" s="6"/>
      <c r="O14" s="23"/>
      <c r="P14" s="6"/>
      <c r="Q14" s="7"/>
    </row>
    <row r="15" spans="1:17" x14ac:dyDescent="0.2">
      <c r="B15" s="14" t="s">
        <v>11</v>
      </c>
      <c r="C15" s="52">
        <v>220</v>
      </c>
      <c r="D15" s="53">
        <v>323</v>
      </c>
      <c r="E15" s="53">
        <v>389.5</v>
      </c>
      <c r="F15" s="53">
        <v>167</v>
      </c>
      <c r="G15" s="35">
        <v>330</v>
      </c>
      <c r="H15" s="53">
        <v>220.25</v>
      </c>
      <c r="I15" s="54">
        <v>143</v>
      </c>
      <c r="K15" s="8"/>
      <c r="L15" s="9"/>
      <c r="M15" s="9"/>
      <c r="N15" s="9"/>
      <c r="O15" s="25"/>
      <c r="P15" s="9"/>
      <c r="Q15" s="10"/>
    </row>
    <row r="16" spans="1:17" x14ac:dyDescent="0.2">
      <c r="B16" s="1" t="s">
        <v>13</v>
      </c>
      <c r="C16" s="37">
        <f>7803163+808599+815029</f>
        <v>9426791</v>
      </c>
      <c r="D16" s="38">
        <f>9908806+1696449+1123463</f>
        <v>12728718</v>
      </c>
      <c r="E16" s="38">
        <f>12804288+4081606+2057691</f>
        <v>18943585</v>
      </c>
      <c r="F16" s="38">
        <f>4235211+229413+271227</f>
        <v>4735851</v>
      </c>
      <c r="G16" s="43">
        <f>8215034+4082184+1528611</f>
        <v>13825829</v>
      </c>
      <c r="H16" s="38">
        <f>8060233+1798973+736617</f>
        <v>10595823</v>
      </c>
      <c r="I16" s="40">
        <f>3263814+219287+427362</f>
        <v>3910463</v>
      </c>
      <c r="K16" s="8">
        <f t="shared" ref="K16:K20" si="9">+C16/$C$21</f>
        <v>0.52821685847615218</v>
      </c>
      <c r="L16" s="9">
        <f t="shared" ref="L16:L20" si="10">+D16/$D$21</f>
        <v>0.47777323686922141</v>
      </c>
      <c r="M16" s="9">
        <f t="shared" ref="M16:M20" si="11">+E16/$E$21</f>
        <v>0.5602666755077802</v>
      </c>
      <c r="N16" s="9">
        <f t="shared" ref="N16:N20" si="12">+F16/$F$21</f>
        <v>0.4243360244932739</v>
      </c>
      <c r="O16" s="25">
        <f t="shared" ref="O16:O20" si="13">+G16/$G$21</f>
        <v>0.52777206774728824</v>
      </c>
      <c r="P16" s="9">
        <f t="shared" ref="P16:P20" si="14">+H16/$H$21</f>
        <v>0.50095559490605324</v>
      </c>
      <c r="Q16" s="10">
        <f t="shared" ref="Q16:Q20" si="15">+I16/$I$21</f>
        <v>0.31664091058706451</v>
      </c>
    </row>
    <row r="17" spans="1:17" x14ac:dyDescent="0.2">
      <c r="B17" s="1" t="s">
        <v>14</v>
      </c>
      <c r="C17" s="27">
        <f>361903+24212</f>
        <v>386115</v>
      </c>
      <c r="D17" s="28">
        <f>1768254+122017</f>
        <v>1890271</v>
      </c>
      <c r="E17" s="28">
        <f>642105+19702</f>
        <v>661807</v>
      </c>
      <c r="F17" s="28">
        <f>435018+909</f>
        <v>435927</v>
      </c>
      <c r="G17" s="29">
        <f>343357+33596</f>
        <v>376953</v>
      </c>
      <c r="H17" s="28">
        <f>482005+145880</f>
        <v>627885</v>
      </c>
      <c r="I17" s="30">
        <f>1815175+124300</f>
        <v>1939475</v>
      </c>
      <c r="K17" s="8">
        <f t="shared" si="9"/>
        <v>2.1635406185468577E-2</v>
      </c>
      <c r="L17" s="9">
        <f t="shared" si="10"/>
        <v>7.0951441789347522E-2</v>
      </c>
      <c r="M17" s="9">
        <f t="shared" si="11"/>
        <v>1.9573296591842433E-2</v>
      </c>
      <c r="N17" s="9">
        <f t="shared" si="12"/>
        <v>3.9059406672481756E-2</v>
      </c>
      <c r="O17" s="25">
        <f t="shared" si="13"/>
        <v>1.438939135248552E-2</v>
      </c>
      <c r="P17" s="9">
        <f t="shared" si="14"/>
        <v>2.9685518879240168E-2</v>
      </c>
      <c r="Q17" s="10">
        <f t="shared" si="15"/>
        <v>0.15704460828828887</v>
      </c>
    </row>
    <row r="18" spans="1:17" x14ac:dyDescent="0.2">
      <c r="B18" s="1" t="s">
        <v>15</v>
      </c>
      <c r="C18" s="27">
        <f>1091949+375502</f>
        <v>1467451</v>
      </c>
      <c r="D18" s="28">
        <f>3361069+739543</f>
        <v>4100612</v>
      </c>
      <c r="E18" s="28">
        <f>2079182+1250214</f>
        <v>3329396</v>
      </c>
      <c r="F18" s="28">
        <f>1341457+107542</f>
        <v>1448999</v>
      </c>
      <c r="G18" s="29">
        <f>2537106+928176</f>
        <v>3465282</v>
      </c>
      <c r="H18" s="28">
        <f>1338236+465694</f>
        <v>1803930</v>
      </c>
      <c r="I18" s="30">
        <f>1134360+578369</f>
        <v>1712729</v>
      </c>
      <c r="K18" s="8">
        <f t="shared" si="9"/>
        <v>8.2226534691146547E-2</v>
      </c>
      <c r="L18" s="9">
        <f t="shared" si="10"/>
        <v>0.15391673131455749</v>
      </c>
      <c r="M18" s="9">
        <f t="shared" si="11"/>
        <v>9.8468670442733053E-2</v>
      </c>
      <c r="N18" s="9">
        <f t="shared" si="12"/>
        <v>0.12983146538071602</v>
      </c>
      <c r="O18" s="25">
        <f t="shared" si="13"/>
        <v>0.13227988328710402</v>
      </c>
      <c r="P18" s="9">
        <f t="shared" si="14"/>
        <v>8.5287270872576537E-2</v>
      </c>
      <c r="Q18" s="10">
        <f t="shared" si="15"/>
        <v>0.13868436298946504</v>
      </c>
    </row>
    <row r="19" spans="1:17" x14ac:dyDescent="0.2">
      <c r="B19" s="1" t="s">
        <v>16</v>
      </c>
      <c r="C19" s="27">
        <f>1119882+657213</f>
        <v>1777095</v>
      </c>
      <c r="D19" s="28">
        <f>1918929+732066</f>
        <v>2650995</v>
      </c>
      <c r="E19" s="28">
        <f>2020305+1733539</f>
        <v>3753844</v>
      </c>
      <c r="F19" s="28">
        <f>890401+327468</f>
        <v>1217869</v>
      </c>
      <c r="G19" s="29">
        <f>2034032+882590</f>
        <v>2916622</v>
      </c>
      <c r="H19" s="28">
        <f>1235031+704825</f>
        <v>1939856</v>
      </c>
      <c r="I19" s="30">
        <f>1007315+452897</f>
        <v>1460212</v>
      </c>
      <c r="K19" s="8">
        <f t="shared" si="9"/>
        <v>9.9576996892545691E-2</v>
      </c>
      <c r="L19" s="9">
        <f t="shared" si="10"/>
        <v>9.9505265343620738E-2</v>
      </c>
      <c r="M19" s="9">
        <f t="shared" si="11"/>
        <v>0.1110219474431491</v>
      </c>
      <c r="N19" s="9">
        <f t="shared" si="12"/>
        <v>0.1091220331496069</v>
      </c>
      <c r="O19" s="25">
        <f t="shared" si="13"/>
        <v>0.11133593680185334</v>
      </c>
      <c r="P19" s="9">
        <f t="shared" si="14"/>
        <v>9.1713660799361857E-2</v>
      </c>
      <c r="Q19" s="10">
        <f t="shared" si="15"/>
        <v>0.11823736916323173</v>
      </c>
    </row>
    <row r="20" spans="1:17" ht="13.5" thickBot="1" x14ac:dyDescent="0.25">
      <c r="B20" s="1" t="s">
        <v>17</v>
      </c>
      <c r="C20" s="31">
        <f>2737167+2051822</f>
        <v>4788989</v>
      </c>
      <c r="D20" s="32">
        <f>3421673+1849487</f>
        <v>5271160</v>
      </c>
      <c r="E20" s="32">
        <f>2894087+4229010</f>
        <v>7123097</v>
      </c>
      <c r="F20" s="32">
        <f>2483283+838686</f>
        <v>3321969</v>
      </c>
      <c r="G20" s="33">
        <f>2826184+2785721</f>
        <v>5611905</v>
      </c>
      <c r="H20" s="32">
        <f>2536291+3647437</f>
        <v>6183728</v>
      </c>
      <c r="I20" s="34">
        <f>1992786+1334170</f>
        <v>3326956</v>
      </c>
      <c r="K20" s="11">
        <f t="shared" si="9"/>
        <v>0.26834420375468698</v>
      </c>
      <c r="L20" s="12">
        <f t="shared" si="10"/>
        <v>0.19785332468325287</v>
      </c>
      <c r="M20" s="12">
        <f t="shared" si="11"/>
        <v>0.21066941001449527</v>
      </c>
      <c r="N20" s="12">
        <f t="shared" si="12"/>
        <v>0.29765107030392141</v>
      </c>
      <c r="O20" s="26">
        <f t="shared" si="13"/>
        <v>0.21422272081126892</v>
      </c>
      <c r="P20" s="12">
        <f t="shared" si="14"/>
        <v>0.29235795454276825</v>
      </c>
      <c r="Q20" s="13">
        <f t="shared" si="15"/>
        <v>0.26939274897194981</v>
      </c>
    </row>
    <row r="21" spans="1:17" s="14" customFormat="1" x14ac:dyDescent="0.2">
      <c r="B21" s="15" t="s">
        <v>7</v>
      </c>
      <c r="C21" s="41">
        <f t="shared" ref="C21:I21" si="16">SUM(C16:C20)</f>
        <v>17846441</v>
      </c>
      <c r="D21" s="42">
        <f t="shared" si="16"/>
        <v>26641756</v>
      </c>
      <c r="E21" s="42">
        <f t="shared" si="16"/>
        <v>33811729</v>
      </c>
      <c r="F21" s="42">
        <f t="shared" si="16"/>
        <v>11160615</v>
      </c>
      <c r="G21" s="43">
        <f t="shared" si="16"/>
        <v>26196591</v>
      </c>
      <c r="H21" s="42">
        <f t="shared" si="16"/>
        <v>21151222</v>
      </c>
      <c r="I21" s="44">
        <f t="shared" si="16"/>
        <v>12349835</v>
      </c>
      <c r="K21" s="16">
        <f t="shared" ref="K21:Q21" si="17">SUM(K15:K20)</f>
        <v>1</v>
      </c>
      <c r="L21" s="17">
        <f t="shared" si="17"/>
        <v>1</v>
      </c>
      <c r="M21" s="17">
        <f t="shared" si="17"/>
        <v>1</v>
      </c>
      <c r="N21" s="17">
        <f t="shared" si="17"/>
        <v>1</v>
      </c>
      <c r="O21" s="25">
        <f t="shared" si="17"/>
        <v>1</v>
      </c>
      <c r="P21" s="17">
        <f t="shared" si="17"/>
        <v>1</v>
      </c>
      <c r="Q21" s="18">
        <f t="shared" si="17"/>
        <v>1</v>
      </c>
    </row>
    <row r="22" spans="1:17" x14ac:dyDescent="0.2">
      <c r="A22" s="22" t="s">
        <v>21</v>
      </c>
      <c r="C22" s="27"/>
      <c r="D22" s="28"/>
      <c r="E22" s="28"/>
      <c r="F22" s="28"/>
      <c r="G22" s="29"/>
      <c r="H22" s="28"/>
      <c r="I22" s="30"/>
      <c r="K22" s="5"/>
      <c r="L22" s="6"/>
      <c r="M22" s="6"/>
      <c r="N22" s="6"/>
      <c r="O22" s="23"/>
      <c r="P22" s="6"/>
      <c r="Q22" s="7"/>
    </row>
    <row r="23" spans="1:17" x14ac:dyDescent="0.2">
      <c r="B23" s="14" t="s">
        <v>11</v>
      </c>
      <c r="C23" s="52">
        <v>227</v>
      </c>
      <c r="D23" s="53">
        <v>327</v>
      </c>
      <c r="E23" s="53">
        <v>392.5</v>
      </c>
      <c r="F23" s="53">
        <v>172</v>
      </c>
      <c r="G23" s="35">
        <v>333</v>
      </c>
      <c r="H23" s="53">
        <v>227.25</v>
      </c>
      <c r="I23" s="54">
        <v>147</v>
      </c>
      <c r="K23" s="8"/>
      <c r="L23" s="9"/>
      <c r="M23" s="9"/>
      <c r="N23" s="9"/>
      <c r="O23" s="25"/>
      <c r="P23" s="9"/>
      <c r="Q23" s="10"/>
    </row>
    <row r="24" spans="1:17" x14ac:dyDescent="0.2">
      <c r="B24" s="1" t="s">
        <v>13</v>
      </c>
      <c r="C24" s="37">
        <f>8986869+2368446</f>
        <v>11355315</v>
      </c>
      <c r="D24" s="38">
        <f>13009435+1963887</f>
        <v>14973322</v>
      </c>
      <c r="E24" s="38">
        <f>16910414+8120031</f>
        <v>25030445</v>
      </c>
      <c r="F24" s="38">
        <f>5354398+585091</f>
        <v>5939489</v>
      </c>
      <c r="G24" s="43">
        <f>9689888+9102161</f>
        <v>18792049</v>
      </c>
      <c r="H24" s="38">
        <f>9875503+2828724</f>
        <v>12704227</v>
      </c>
      <c r="I24" s="40">
        <f>5114910+1192436</f>
        <v>6307346</v>
      </c>
      <c r="K24" s="8">
        <f t="shared" ref="K24:K28" si="18">+C24/$C$29</f>
        <v>0.54615491871367272</v>
      </c>
      <c r="L24" s="9">
        <f t="shared" ref="L24:L28" si="19">+D24/$D$29</f>
        <v>0.50904261284835628</v>
      </c>
      <c r="M24" s="9">
        <f t="shared" ref="M24:M28" si="20">+E24/$E$29</f>
        <v>0.63590125409031828</v>
      </c>
      <c r="N24" s="9">
        <f t="shared" ref="N24:N28" si="21">+F24/$F$29</f>
        <v>0.46272503206438381</v>
      </c>
      <c r="O24" s="25">
        <f t="shared" ref="O24:O28" si="22">+G24/$G$29</f>
        <v>0.56960165846037669</v>
      </c>
      <c r="P24" s="9">
        <f t="shared" ref="P24:P28" si="23">+H24/$H$29</f>
        <v>0.57010854575824654</v>
      </c>
      <c r="Q24" s="10">
        <f t="shared" ref="Q24:Q28" si="24">+I24/$I$29</f>
        <v>0.43436392521416922</v>
      </c>
    </row>
    <row r="25" spans="1:17" x14ac:dyDescent="0.2">
      <c r="B25" s="1" t="s">
        <v>14</v>
      </c>
      <c r="C25" s="27">
        <f>264438+6000</f>
        <v>270438</v>
      </c>
      <c r="D25" s="28">
        <f>905720+1347594</f>
        <v>2253314</v>
      </c>
      <c r="E25" s="28">
        <f>652015+0</f>
        <v>652015</v>
      </c>
      <c r="F25" s="28">
        <f>604723+0</f>
        <v>604723</v>
      </c>
      <c r="G25" s="29">
        <f>366626+55155</f>
        <v>421781</v>
      </c>
      <c r="H25" s="28">
        <f>191596+0</f>
        <v>191596</v>
      </c>
      <c r="I25" s="30">
        <f>628018+47112</f>
        <v>675130</v>
      </c>
      <c r="K25" s="8">
        <f t="shared" si="18"/>
        <v>1.3007216788533671E-2</v>
      </c>
      <c r="L25" s="9">
        <f t="shared" si="19"/>
        <v>7.6605101134389633E-2</v>
      </c>
      <c r="M25" s="9">
        <f t="shared" si="20"/>
        <v>1.656451398230031E-2</v>
      </c>
      <c r="N25" s="9">
        <f t="shared" si="21"/>
        <v>4.7111876049449775E-2</v>
      </c>
      <c r="O25" s="25">
        <f t="shared" si="22"/>
        <v>1.2784510997554132E-2</v>
      </c>
      <c r="P25" s="9">
        <f t="shared" si="23"/>
        <v>8.5979664038667598E-3</v>
      </c>
      <c r="Q25" s="10">
        <f t="shared" si="24"/>
        <v>4.649374187333976E-2</v>
      </c>
    </row>
    <row r="26" spans="1:17" x14ac:dyDescent="0.2">
      <c r="B26" s="1" t="s">
        <v>15</v>
      </c>
      <c r="C26" s="27">
        <f>1184128+646337</f>
        <v>1830465</v>
      </c>
      <c r="D26" s="28">
        <f>3830167+875425</f>
        <v>4705592</v>
      </c>
      <c r="E26" s="28">
        <f>1861623+1153443</f>
        <v>3015066</v>
      </c>
      <c r="F26" s="28">
        <f>1231012+280618</f>
        <v>1511630</v>
      </c>
      <c r="G26" s="29">
        <f>3097939+1173969</f>
        <v>4271908</v>
      </c>
      <c r="H26" s="28">
        <f>1396815+421894</f>
        <v>1818709</v>
      </c>
      <c r="I26" s="30">
        <f>1193187+480272</f>
        <v>1673459</v>
      </c>
      <c r="K26" s="8">
        <f t="shared" si="18"/>
        <v>8.8039606411906932E-2</v>
      </c>
      <c r="L26" s="9">
        <f t="shared" si="19"/>
        <v>0.15997430942033589</v>
      </c>
      <c r="M26" s="9">
        <f t="shared" si="20"/>
        <v>7.6598088869977321E-2</v>
      </c>
      <c r="N26" s="9">
        <f t="shared" si="21"/>
        <v>0.11776586171293263</v>
      </c>
      <c r="O26" s="25">
        <f t="shared" si="22"/>
        <v>0.1294848625389467</v>
      </c>
      <c r="P26" s="9">
        <f t="shared" si="23"/>
        <v>8.1615476734431369E-2</v>
      </c>
      <c r="Q26" s="10">
        <f t="shared" si="24"/>
        <v>0.11524502063545877</v>
      </c>
    </row>
    <row r="27" spans="1:17" x14ac:dyDescent="0.2">
      <c r="B27" s="1" t="s">
        <v>16</v>
      </c>
      <c r="C27" s="27">
        <f>1240453+528596</f>
        <v>1769049</v>
      </c>
      <c r="D27" s="28">
        <f>1998050+267203</f>
        <v>2265253</v>
      </c>
      <c r="E27" s="28">
        <f>1919460+961096</f>
        <v>2880556</v>
      </c>
      <c r="F27" s="28">
        <f>1028303+262574</f>
        <v>1290877</v>
      </c>
      <c r="G27" s="29">
        <f>2395076+249946</f>
        <v>2645022</v>
      </c>
      <c r="H27" s="28">
        <f>1233659+244727</f>
        <v>1478386</v>
      </c>
      <c r="I27" s="30">
        <f>1390575+153167</f>
        <v>1543742</v>
      </c>
      <c r="K27" s="8">
        <f t="shared" si="18"/>
        <v>8.5085690075132572E-2</v>
      </c>
      <c r="L27" s="9">
        <f t="shared" si="19"/>
        <v>7.7010986999583503E-2</v>
      </c>
      <c r="M27" s="9">
        <f t="shared" si="20"/>
        <v>7.3180847279278927E-2</v>
      </c>
      <c r="N27" s="9">
        <f t="shared" si="21"/>
        <v>0.1005677594850627</v>
      </c>
      <c r="O27" s="25">
        <f t="shared" si="22"/>
        <v>8.017267929985615E-2</v>
      </c>
      <c r="P27" s="9">
        <f t="shared" si="23"/>
        <v>6.6343311759885198E-2</v>
      </c>
      <c r="Q27" s="10">
        <f t="shared" si="24"/>
        <v>0.10631188373651485</v>
      </c>
    </row>
    <row r="28" spans="1:17" ht="13.5" thickBot="1" x14ac:dyDescent="0.25">
      <c r="B28" s="1" t="s">
        <v>17</v>
      </c>
      <c r="C28" s="31">
        <f>2404702+3161412</f>
        <v>5566114</v>
      </c>
      <c r="D28" s="32">
        <f>2448068+2769124</f>
        <v>5217192</v>
      </c>
      <c r="E28" s="32">
        <f>2818661+4965414</f>
        <v>7784075</v>
      </c>
      <c r="F28" s="32">
        <f>2106171+1383003</f>
        <v>3489174</v>
      </c>
      <c r="G28" s="33">
        <f>3592352+3268451</f>
        <v>6860803</v>
      </c>
      <c r="H28" s="32">
        <f>2506202+3584754</f>
        <v>6090956</v>
      </c>
      <c r="I28" s="34">
        <f>1831576+2489626</f>
        <v>4321202</v>
      </c>
      <c r="K28" s="11">
        <f t="shared" si="18"/>
        <v>0.26771256801075405</v>
      </c>
      <c r="L28" s="12">
        <f t="shared" si="19"/>
        <v>0.17736698959733463</v>
      </c>
      <c r="M28" s="12">
        <f t="shared" si="20"/>
        <v>0.19775529577812517</v>
      </c>
      <c r="N28" s="12">
        <f t="shared" si="21"/>
        <v>0.27182947068817104</v>
      </c>
      <c r="O28" s="26">
        <f t="shared" si="22"/>
        <v>0.20795628870326635</v>
      </c>
      <c r="P28" s="12">
        <f t="shared" si="23"/>
        <v>0.27333469934357013</v>
      </c>
      <c r="Q28" s="13">
        <f t="shared" si="24"/>
        <v>0.29758542854051739</v>
      </c>
    </row>
    <row r="29" spans="1:17" s="14" customFormat="1" ht="13.5" thickBot="1" x14ac:dyDescent="0.25">
      <c r="B29" s="15" t="s">
        <v>7</v>
      </c>
      <c r="C29" s="45">
        <f t="shared" ref="C29:I29" si="25">SUM(C24:C28)</f>
        <v>20791381</v>
      </c>
      <c r="D29" s="46">
        <f t="shared" si="25"/>
        <v>29414673</v>
      </c>
      <c r="E29" s="46">
        <f t="shared" si="25"/>
        <v>39362157</v>
      </c>
      <c r="F29" s="46">
        <f t="shared" si="25"/>
        <v>12835893</v>
      </c>
      <c r="G29" s="47">
        <f t="shared" si="25"/>
        <v>32991563</v>
      </c>
      <c r="H29" s="46">
        <f t="shared" si="25"/>
        <v>22283874</v>
      </c>
      <c r="I29" s="48">
        <f t="shared" si="25"/>
        <v>14520879</v>
      </c>
      <c r="K29" s="19">
        <f t="shared" ref="K29:Q29" si="26">SUM(K23:K28)</f>
        <v>0.99999999999999989</v>
      </c>
      <c r="L29" s="20">
        <f t="shared" si="26"/>
        <v>1</v>
      </c>
      <c r="M29" s="20">
        <f t="shared" si="26"/>
        <v>1</v>
      </c>
      <c r="N29" s="20">
        <f t="shared" si="26"/>
        <v>1</v>
      </c>
      <c r="O29" s="26">
        <f t="shared" si="26"/>
        <v>1</v>
      </c>
      <c r="P29" s="20">
        <f t="shared" si="26"/>
        <v>1</v>
      </c>
      <c r="Q29" s="21">
        <f t="shared" si="26"/>
        <v>1</v>
      </c>
    </row>
    <row r="31" spans="1:17" x14ac:dyDescent="0.2">
      <c r="A31" s="1" t="s">
        <v>8</v>
      </c>
      <c r="B31" s="1" t="s">
        <v>22</v>
      </c>
    </row>
    <row r="32" spans="1:17" x14ac:dyDescent="0.2">
      <c r="B32" s="1" t="s">
        <v>23</v>
      </c>
    </row>
    <row r="34" spans="1:3" x14ac:dyDescent="0.2">
      <c r="A34" s="1" t="s">
        <v>24</v>
      </c>
    </row>
    <row r="35" spans="1:3" x14ac:dyDescent="0.2">
      <c r="B35" s="1" t="s">
        <v>13</v>
      </c>
      <c r="C35" s="1" t="s">
        <v>25</v>
      </c>
    </row>
    <row r="36" spans="1:3" x14ac:dyDescent="0.2">
      <c r="B36" s="1" t="s">
        <v>14</v>
      </c>
      <c r="C36" s="1" t="s">
        <v>26</v>
      </c>
    </row>
    <row r="37" spans="1:3" x14ac:dyDescent="0.2">
      <c r="B37" s="1" t="s">
        <v>15</v>
      </c>
      <c r="C37" s="1" t="s">
        <v>27</v>
      </c>
    </row>
    <row r="38" spans="1:3" x14ac:dyDescent="0.2">
      <c r="B38" s="1" t="s">
        <v>16</v>
      </c>
      <c r="C38" s="1" t="s">
        <v>28</v>
      </c>
    </row>
    <row r="39" spans="1:3" x14ac:dyDescent="0.2">
      <c r="B39" s="1" t="s">
        <v>17</v>
      </c>
      <c r="C39" s="1" t="s">
        <v>29</v>
      </c>
    </row>
  </sheetData>
  <mergeCells count="2">
    <mergeCell ref="C4:I4"/>
    <mergeCell ref="K4:Q4"/>
  </mergeCells>
  <printOptions horizontalCentered="1" gridLines="1"/>
  <pageMargins left="0" right="0" top="0.75" bottom="0.5" header="0.3" footer="0.3"/>
  <pageSetup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Leeward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Lane</dc:creator>
  <cp:lastModifiedBy>Mark Lane</cp:lastModifiedBy>
  <cp:lastPrinted>2016-12-19T22:43:18Z</cp:lastPrinted>
  <dcterms:created xsi:type="dcterms:W3CDTF">2016-12-17T00:29:40Z</dcterms:created>
  <dcterms:modified xsi:type="dcterms:W3CDTF">2016-12-19T22:52:48Z</dcterms:modified>
</cp:coreProperties>
</file>